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32CB29D-4FBD-4569-B634-CD3B7EF11877}" xr6:coauthVersionLast="31" xr6:coauthVersionMax="31" xr10:uidLastSave="{00000000-0000-0000-0000-000000000000}"/>
  <bookViews>
    <workbookView xWindow="0" yWindow="0" windowWidth="28800" windowHeight="123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F181" i="75"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G916" i="93" s="1"/>
  <c r="K914" i="93"/>
  <c r="K916" i="93" s="1"/>
  <c r="J914" i="93"/>
  <c r="J916" i="93" s="1"/>
  <c r="I914" i="93"/>
  <c r="H914" i="93"/>
  <c r="G914" i="93"/>
  <c r="H910" i="93"/>
  <c r="I910" i="93"/>
  <c r="I912" i="93" s="1"/>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M902" i="93"/>
  <c r="L902" i="93"/>
  <c r="K902" i="93"/>
  <c r="J902" i="93"/>
  <c r="I902" i="93"/>
  <c r="I903" i="93" s="1"/>
  <c r="H902" i="93"/>
  <c r="G902" i="93"/>
  <c r="P901" i="93"/>
  <c r="P903" i="93" s="1"/>
  <c r="O901" i="93"/>
  <c r="N901" i="93"/>
  <c r="N903" i="93" s="1"/>
  <c r="M901" i="93"/>
  <c r="M903" i="93" s="1"/>
  <c r="L901" i="93"/>
  <c r="K901" i="93"/>
  <c r="J901" i="93"/>
  <c r="I901" i="93"/>
  <c r="H901" i="93"/>
  <c r="G901" i="93"/>
  <c r="G903" i="93" s="1"/>
  <c r="P897" i="93"/>
  <c r="P898" i="93" s="1"/>
  <c r="O897" i="93"/>
  <c r="N897" i="93"/>
  <c r="M897" i="93"/>
  <c r="M898" i="93" s="1"/>
  <c r="L897" i="93"/>
  <c r="K897" i="93"/>
  <c r="J897" i="93"/>
  <c r="I897" i="93"/>
  <c r="H897" i="93"/>
  <c r="H898" i="93" s="1"/>
  <c r="G897" i="93"/>
  <c r="G898" i="93" s="1"/>
  <c r="P896" i="93"/>
  <c r="O896" i="93"/>
  <c r="N896" i="93"/>
  <c r="M896" i="93"/>
  <c r="L896" i="93"/>
  <c r="K896" i="93"/>
  <c r="K898" i="93" s="1"/>
  <c r="J896" i="93"/>
  <c r="I896" i="93"/>
  <c r="H896" i="93"/>
  <c r="G896" i="93"/>
  <c r="P893" i="93"/>
  <c r="O893" i="93"/>
  <c r="N893" i="93"/>
  <c r="M893" i="93"/>
  <c r="L893" i="93"/>
  <c r="L894" i="93" s="1"/>
  <c r="K893" i="93"/>
  <c r="J893" i="93"/>
  <c r="I893" i="93"/>
  <c r="I894" i="93" s="1"/>
  <c r="H893" i="93"/>
  <c r="G893" i="93"/>
  <c r="P892" i="93"/>
  <c r="O892" i="93"/>
  <c r="N892" i="93"/>
  <c r="N894" i="93" s="1"/>
  <c r="M892" i="93"/>
  <c r="L892" i="93"/>
  <c r="K892" i="93"/>
  <c r="J892" i="93"/>
  <c r="I892" i="93"/>
  <c r="H892" i="93"/>
  <c r="G892" i="93"/>
  <c r="G894" i="93" s="1"/>
  <c r="P888" i="93"/>
  <c r="O888" i="93"/>
  <c r="N888" i="93"/>
  <c r="M888" i="93"/>
  <c r="M889" i="93" s="1"/>
  <c r="L888" i="93"/>
  <c r="K888" i="93"/>
  <c r="J888" i="93"/>
  <c r="I888" i="93"/>
  <c r="H888" i="93"/>
  <c r="G888" i="93"/>
  <c r="P887" i="93"/>
  <c r="O887" i="93"/>
  <c r="N887" i="93"/>
  <c r="M887" i="93"/>
  <c r="L887" i="93"/>
  <c r="K887" i="93"/>
  <c r="J887" i="93"/>
  <c r="J889" i="93" s="1"/>
  <c r="I887" i="93"/>
  <c r="I889" i="93" s="1"/>
  <c r="H887" i="93"/>
  <c r="G887" i="93"/>
  <c r="H883" i="93"/>
  <c r="I883" i="93"/>
  <c r="J883" i="93"/>
  <c r="K883" i="93"/>
  <c r="L883" i="93"/>
  <c r="M883" i="93"/>
  <c r="M885" i="93" s="1"/>
  <c r="N883" i="93"/>
  <c r="O883" i="93"/>
  <c r="O885" i="93" s="1"/>
  <c r="P883" i="93"/>
  <c r="H884" i="93"/>
  <c r="I884" i="93"/>
  <c r="J884" i="93"/>
  <c r="K884" i="93"/>
  <c r="L884" i="93"/>
  <c r="M884" i="93"/>
  <c r="N884" i="93"/>
  <c r="N885" i="93" s="1"/>
  <c r="O884" i="93"/>
  <c r="P884" i="93"/>
  <c r="G884" i="93"/>
  <c r="K838" i="93"/>
  <c r="L838" i="93"/>
  <c r="M838" i="93"/>
  <c r="N838" i="93"/>
  <c r="K839" i="93"/>
  <c r="L839" i="93"/>
  <c r="M839" i="93"/>
  <c r="N839" i="93"/>
  <c r="J839" i="93"/>
  <c r="P804" i="93"/>
  <c r="P803" i="93"/>
  <c r="HH803" i="93" s="1"/>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DA803" i="93" s="1"/>
  <c r="M802" i="93"/>
  <c r="M801" i="93"/>
  <c r="M800" i="93"/>
  <c r="M799" i="93"/>
  <c r="M798" i="93"/>
  <c r="M797" i="93"/>
  <c r="M796" i="93"/>
  <c r="M795" i="93"/>
  <c r="IM795" i="93" s="1"/>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AY795" i="93" s="1"/>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H797" i="93" s="1"/>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GO801" i="93" s="1"/>
  <c r="C800" i="93"/>
  <c r="JN800" i="93" s="1"/>
  <c r="C799" i="93"/>
  <c r="IY799" i="93" s="1"/>
  <c r="C798" i="93"/>
  <c r="C797" i="93"/>
  <c r="IX797" i="93" s="1"/>
  <c r="C796" i="93"/>
  <c r="C795" i="93"/>
  <c r="C794" i="93"/>
  <c r="C793" i="93"/>
  <c r="C792" i="93"/>
  <c r="JE792" i="93" s="1"/>
  <c r="C791" i="93"/>
  <c r="JI791" i="93" s="1"/>
  <c r="C790" i="93"/>
  <c r="C789" i="93"/>
  <c r="IQ789" i="93" s="1"/>
  <c r="C788" i="93"/>
  <c r="C787" i="93"/>
  <c r="C786" i="93"/>
  <c r="C785" i="93"/>
  <c r="C784" i="93"/>
  <c r="C783" i="93"/>
  <c r="C782" i="93"/>
  <c r="C781" i="93"/>
  <c r="C780" i="93"/>
  <c r="C779" i="93"/>
  <c r="C778" i="93"/>
  <c r="C777" i="93"/>
  <c r="C776" i="93"/>
  <c r="C775" i="93"/>
  <c r="C774" i="93"/>
  <c r="C773" i="93"/>
  <c r="C772" i="93"/>
  <c r="C771" i="93"/>
  <c r="C770" i="93"/>
  <c r="C769" i="93"/>
  <c r="C768" i="93"/>
  <c r="JN768" i="93" s="1"/>
  <c r="C767" i="93"/>
  <c r="B768" i="93"/>
  <c r="B769" i="93"/>
  <c r="B770" i="93"/>
  <c r="B771" i="93"/>
  <c r="B772" i="93"/>
  <c r="B773" i="93"/>
  <c r="B774" i="93"/>
  <c r="B775" i="93"/>
  <c r="B776" i="93"/>
  <c r="B777" i="93"/>
  <c r="IV777" i="93" s="1"/>
  <c r="B778" i="93"/>
  <c r="IH778" i="93" s="1"/>
  <c r="B779" i="93"/>
  <c r="B780" i="93"/>
  <c r="B781" i="93"/>
  <c r="B782" i="93"/>
  <c r="B783" i="93"/>
  <c r="B784" i="93"/>
  <c r="B785" i="93"/>
  <c r="IO785" i="93" s="1"/>
  <c r="B786" i="93"/>
  <c r="B787" i="93"/>
  <c r="B788" i="93"/>
  <c r="B789" i="93"/>
  <c r="B790" i="93"/>
  <c r="B791" i="93"/>
  <c r="B792" i="93"/>
  <c r="B793" i="93"/>
  <c r="IK793" i="93" s="1"/>
  <c r="B794" i="93"/>
  <c r="B795" i="93"/>
  <c r="B796" i="93"/>
  <c r="B797" i="93"/>
  <c r="DT797" i="93" s="1"/>
  <c r="B798" i="93"/>
  <c r="B799" i="93"/>
  <c r="B800" i="93"/>
  <c r="B801" i="93"/>
  <c r="AM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H912" i="93"/>
  <c r="S909" i="93"/>
  <c r="R904" i="93"/>
  <c r="J903" i="93"/>
  <c r="S900" i="93"/>
  <c r="R895" i="93"/>
  <c r="O894" i="93"/>
  <c r="J894" i="93"/>
  <c r="S891" i="93"/>
  <c r="R886" i="93"/>
  <c r="P885" i="93"/>
  <c r="I885" i="93"/>
  <c r="H885" i="93"/>
  <c r="R882" i="93"/>
  <c r="R881" i="93"/>
  <c r="R879" i="93"/>
  <c r="R869" i="93"/>
  <c r="R860" i="93"/>
  <c r="R842" i="93"/>
  <c r="R828" i="93"/>
  <c r="R824" i="93"/>
  <c r="R820" i="93"/>
  <c r="R810" i="93"/>
  <c r="JR805" i="93"/>
  <c r="FX804" i="93"/>
  <c r="IV803" i="93"/>
  <c r="GZ803" i="93"/>
  <c r="GR803" i="93"/>
  <c r="GA803" i="93"/>
  <c r="FA803" i="93"/>
  <c r="EZ803" i="93"/>
  <c r="EY803" i="93"/>
  <c r="EW803" i="93"/>
  <c r="ER803" i="93"/>
  <c r="EF803" i="93"/>
  <c r="CT803" i="93"/>
  <c r="CS803" i="93"/>
  <c r="CH803" i="93"/>
  <c r="BW803" i="93"/>
  <c r="BD803" i="93"/>
  <c r="HE801" i="93"/>
  <c r="FT801" i="93"/>
  <c r="EZ801" i="93"/>
  <c r="EY801" i="93"/>
  <c r="BJ801" i="93"/>
  <c r="HQ800" i="93"/>
  <c r="HP800" i="93"/>
  <c r="HN800" i="93"/>
  <c r="HJ800" i="93"/>
  <c r="HF800" i="93"/>
  <c r="GX800" i="93"/>
  <c r="GT800" i="93"/>
  <c r="GL800" i="93"/>
  <c r="GK800" i="93"/>
  <c r="FZ800" i="93"/>
  <c r="FV800" i="93"/>
  <c r="FU800" i="93"/>
  <c r="FT800" i="93"/>
  <c r="FR800" i="93"/>
  <c r="FD800" i="93"/>
  <c r="FB800" i="93"/>
  <c r="EX800" i="93"/>
  <c r="DB800" i="93"/>
  <c r="BY800" i="93"/>
  <c r="BU800" i="93"/>
  <c r="JK799" i="93"/>
  <c r="IX799" i="93"/>
  <c r="HA799" i="93"/>
  <c r="GK799" i="93"/>
  <c r="GH799" i="93"/>
  <c r="FU799" i="93"/>
  <c r="EI799" i="93"/>
  <c r="DW799" i="93"/>
  <c r="DF799" i="93"/>
  <c r="CZ799" i="93"/>
  <c r="BY799" i="93"/>
  <c r="AJ799" i="93"/>
  <c r="JN797" i="93"/>
  <c r="HW797" i="93"/>
  <c r="HR797" i="93"/>
  <c r="HP797" i="93"/>
  <c r="HO797" i="93"/>
  <c r="HL797" i="93"/>
  <c r="GU797" i="93"/>
  <c r="GT797" i="93"/>
  <c r="GQ797" i="93"/>
  <c r="GL797" i="93"/>
  <c r="GF797" i="93"/>
  <c r="FV797" i="93"/>
  <c r="FP797" i="93"/>
  <c r="FK797" i="93"/>
  <c r="FF797" i="93"/>
  <c r="FD797" i="93"/>
  <c r="CY797" i="93"/>
  <c r="CX797" i="93"/>
  <c r="CT797" i="93"/>
  <c r="CN797" i="93"/>
  <c r="BG797" i="93"/>
  <c r="BC797" i="93"/>
  <c r="AX797" i="93"/>
  <c r="AG797" i="93"/>
  <c r="JO796" i="93"/>
  <c r="JK796" i="93"/>
  <c r="JG796" i="93"/>
  <c r="JC796" i="93"/>
  <c r="IC796" i="93"/>
  <c r="HR796" i="93"/>
  <c r="HN796" i="93"/>
  <c r="HM796" i="93"/>
  <c r="HL796" i="93"/>
  <c r="HJ796" i="93"/>
  <c r="GW796" i="93"/>
  <c r="GV796" i="93"/>
  <c r="GT796" i="93"/>
  <c r="GP796" i="93"/>
  <c r="GL796" i="93"/>
  <c r="GD796" i="93"/>
  <c r="FZ796" i="93"/>
  <c r="FV796" i="93"/>
  <c r="FR796" i="93"/>
  <c r="FQ796" i="93"/>
  <c r="FF796" i="93"/>
  <c r="FB796" i="93"/>
  <c r="FA796" i="93"/>
  <c r="EZ796" i="93"/>
  <c r="EY796" i="93"/>
  <c r="EX796" i="93"/>
  <c r="EW796" i="93"/>
  <c r="DC796" i="93"/>
  <c r="DB796" i="93"/>
  <c r="DA796" i="93"/>
  <c r="CZ796" i="93"/>
  <c r="CY796" i="93"/>
  <c r="CW796" i="93"/>
  <c r="BY796" i="93"/>
  <c r="BX796" i="93"/>
  <c r="BW796" i="93"/>
  <c r="BV796" i="93"/>
  <c r="BU796" i="93"/>
  <c r="AV796" i="93"/>
  <c r="JJ795" i="93"/>
  <c r="JI795" i="93"/>
  <c r="IK795" i="93"/>
  <c r="IE795" i="93"/>
  <c r="HQ795" i="93"/>
  <c r="HJ795" i="93"/>
  <c r="HI795" i="93"/>
  <c r="GD795" i="93"/>
  <c r="FE795" i="93"/>
  <c r="FA795" i="93"/>
  <c r="EZ795" i="93"/>
  <c r="EY795" i="93"/>
  <c r="EX795" i="93"/>
  <c r="EW795" i="93"/>
  <c r="EF795" i="93"/>
  <c r="DY795" i="93"/>
  <c r="DK795" i="93"/>
  <c r="DB795" i="93"/>
  <c r="CW795" i="93"/>
  <c r="CV795" i="93"/>
  <c r="CR795" i="93"/>
  <c r="BY795" i="93"/>
  <c r="BU795" i="93"/>
  <c r="AQ795" i="93"/>
  <c r="AK795" i="93"/>
  <c r="AC795" i="93"/>
  <c r="EW794" i="93"/>
  <c r="IJ793" i="93"/>
  <c r="IC793" i="93"/>
  <c r="HZ793" i="93"/>
  <c r="HY793" i="93"/>
  <c r="HX793" i="93"/>
  <c r="HS793" i="93"/>
  <c r="HR793" i="93"/>
  <c r="HQ793" i="93"/>
  <c r="HL793" i="93"/>
  <c r="HI793" i="93"/>
  <c r="HH793" i="93"/>
  <c r="HG793" i="93"/>
  <c r="HE793" i="93"/>
  <c r="HD793" i="93"/>
  <c r="GY793" i="93"/>
  <c r="GW793" i="93"/>
  <c r="GV793" i="93"/>
  <c r="GU793" i="93"/>
  <c r="GT793" i="93"/>
  <c r="GQ793" i="93"/>
  <c r="GN793" i="93"/>
  <c r="GM793" i="93"/>
  <c r="GL793" i="93"/>
  <c r="GI793" i="93"/>
  <c r="GH793" i="93"/>
  <c r="GG793" i="93"/>
  <c r="GD793" i="93"/>
  <c r="GA793" i="93"/>
  <c r="FZ793" i="93"/>
  <c r="FY793" i="93"/>
  <c r="FX793" i="93"/>
  <c r="FW793" i="93"/>
  <c r="FR793" i="93"/>
  <c r="FQ793" i="93"/>
  <c r="FP793" i="93"/>
  <c r="FO793" i="93"/>
  <c r="FN793" i="93"/>
  <c r="FK793" i="93"/>
  <c r="FH793" i="93"/>
  <c r="FG793" i="93"/>
  <c r="FF793" i="93"/>
  <c r="FC793" i="93"/>
  <c r="FB793" i="93"/>
  <c r="FA793" i="93"/>
  <c r="EX793" i="93"/>
  <c r="EK793" i="93"/>
  <c r="EG793" i="93"/>
  <c r="DU793" i="93"/>
  <c r="DQ793" i="93"/>
  <c r="DB793" i="93"/>
  <c r="CX793" i="93"/>
  <c r="CW793" i="93"/>
  <c r="CV793" i="93"/>
  <c r="CR793" i="93"/>
  <c r="CF793" i="93"/>
  <c r="CD793" i="93"/>
  <c r="CC793" i="93"/>
  <c r="CB793" i="93"/>
  <c r="BU793" i="93"/>
  <c r="BP793" i="93"/>
  <c r="BL793" i="93"/>
  <c r="BH793" i="93"/>
  <c r="BF793" i="93"/>
  <c r="AT793" i="93"/>
  <c r="AP793" i="93"/>
  <c r="AO793" i="93"/>
  <c r="AN793" i="93"/>
  <c r="AC793" i="93"/>
  <c r="AB793" i="93"/>
  <c r="AA793" i="93"/>
  <c r="X793" i="93"/>
  <c r="GW792" i="93"/>
  <c r="FM792" i="93"/>
  <c r="JL791" i="93"/>
  <c r="JH791" i="93"/>
  <c r="JG791" i="93"/>
  <c r="IT791" i="93"/>
  <c r="IH791" i="93"/>
  <c r="IF791" i="93"/>
  <c r="IB791" i="93"/>
  <c r="HY791" i="93"/>
  <c r="HA791" i="93"/>
  <c r="GW791" i="93"/>
  <c r="GV791" i="93"/>
  <c r="GS791" i="93"/>
  <c r="GR791" i="93"/>
  <c r="GK791" i="93"/>
  <c r="GF791" i="93"/>
  <c r="GB791" i="93"/>
  <c r="FU791" i="93"/>
  <c r="FT791" i="93"/>
  <c r="FQ791" i="93"/>
  <c r="FL791" i="93"/>
  <c r="FE791" i="93"/>
  <c r="FD791" i="93"/>
  <c r="EZ791" i="93"/>
  <c r="EY791" i="93"/>
  <c r="EN791" i="93"/>
  <c r="EM791" i="93"/>
  <c r="EH791" i="93"/>
  <c r="EF791" i="93"/>
  <c r="EA791" i="93"/>
  <c r="DF791" i="93"/>
  <c r="DC791" i="93"/>
  <c r="DB791" i="93"/>
  <c r="CY791" i="93"/>
  <c r="CW791" i="93"/>
  <c r="CV791" i="93"/>
  <c r="CI791" i="93"/>
  <c r="BY791" i="93"/>
  <c r="BX791" i="93"/>
  <c r="BW791" i="93"/>
  <c r="BV791" i="93"/>
  <c r="AV791" i="93"/>
  <c r="AP791" i="93"/>
  <c r="AN791" i="93"/>
  <c r="AF791" i="93"/>
  <c r="HS790" i="93"/>
  <c r="FW790" i="93"/>
  <c r="FG790" i="93"/>
  <c r="BX790" i="93"/>
  <c r="JP789" i="93"/>
  <c r="JD789" i="93"/>
  <c r="IX789" i="93"/>
  <c r="IU789" i="93"/>
  <c r="IT789" i="93"/>
  <c r="IM789" i="93"/>
  <c r="IJ789" i="93"/>
  <c r="II789" i="93"/>
  <c r="IH789" i="93"/>
  <c r="IG789" i="93"/>
  <c r="IF789" i="93"/>
  <c r="IA789" i="93"/>
  <c r="HZ789" i="93"/>
  <c r="HY789" i="93"/>
  <c r="HX789" i="93"/>
  <c r="HW789" i="93"/>
  <c r="HT789" i="93"/>
  <c r="HQ789" i="93"/>
  <c r="HP789" i="93"/>
  <c r="HO789" i="93"/>
  <c r="HL789" i="93"/>
  <c r="HK789" i="93"/>
  <c r="HJ789" i="93"/>
  <c r="HG789" i="93"/>
  <c r="HD789" i="93"/>
  <c r="HC789" i="93"/>
  <c r="HB789" i="93"/>
  <c r="HA789" i="93"/>
  <c r="GZ789" i="93"/>
  <c r="GU789" i="93"/>
  <c r="GT789" i="93"/>
  <c r="GS789" i="93"/>
  <c r="GR789" i="93"/>
  <c r="GQ789" i="93"/>
  <c r="GN789" i="93"/>
  <c r="GK789" i="93"/>
  <c r="GJ789" i="93"/>
  <c r="GI789" i="93"/>
  <c r="GF789" i="93"/>
  <c r="GE789" i="93"/>
  <c r="GD789" i="93"/>
  <c r="GA789" i="93"/>
  <c r="FX789" i="93"/>
  <c r="FW789" i="93"/>
  <c r="FV789" i="93"/>
  <c r="FU789" i="93"/>
  <c r="FT789" i="93"/>
  <c r="FO789" i="93"/>
  <c r="FN789" i="93"/>
  <c r="FM789" i="93"/>
  <c r="FL789" i="93"/>
  <c r="FK789" i="93"/>
  <c r="FH789" i="93"/>
  <c r="FE789" i="93"/>
  <c r="FD789" i="93"/>
  <c r="FC789" i="93"/>
  <c r="EZ789" i="93"/>
  <c r="EY789" i="93"/>
  <c r="EX789" i="93"/>
  <c r="EW789" i="93"/>
  <c r="ET789" i="93"/>
  <c r="EM789" i="93"/>
  <c r="EL789" i="93"/>
  <c r="EI789" i="93"/>
  <c r="EH789" i="93"/>
  <c r="EE789" i="93"/>
  <c r="ED789" i="93"/>
  <c r="DZ789" i="93"/>
  <c r="DW789" i="93"/>
  <c r="DV789" i="93"/>
  <c r="DS789" i="93"/>
  <c r="DR789" i="93"/>
  <c r="DO789" i="93"/>
  <c r="DN789" i="93"/>
  <c r="DJ789" i="93"/>
  <c r="DG789" i="93"/>
  <c r="DF789" i="93"/>
  <c r="DC789" i="93"/>
  <c r="DB789" i="93"/>
  <c r="DA789" i="93"/>
  <c r="CZ789" i="93"/>
  <c r="CX789" i="93"/>
  <c r="CW789" i="93"/>
  <c r="CV789" i="93"/>
  <c r="CU789" i="93"/>
  <c r="CT789" i="93"/>
  <c r="CS789" i="93"/>
  <c r="CR789" i="93"/>
  <c r="CP789" i="93"/>
  <c r="CO789" i="93"/>
  <c r="CN789" i="93"/>
  <c r="CM789" i="93"/>
  <c r="CL789" i="93"/>
  <c r="CK789" i="93"/>
  <c r="CJ789" i="93"/>
  <c r="CH789" i="93"/>
  <c r="CG789" i="93"/>
  <c r="CF789" i="93"/>
  <c r="CE789" i="93"/>
  <c r="CD789" i="93"/>
  <c r="CC789" i="93"/>
  <c r="CB789" i="93"/>
  <c r="BZ789" i="93"/>
  <c r="BY789" i="93"/>
  <c r="BX789" i="93"/>
  <c r="BW789" i="93"/>
  <c r="BV789" i="93"/>
  <c r="BU789" i="93"/>
  <c r="BT789" i="93"/>
  <c r="BR789" i="93"/>
  <c r="BQ789" i="93"/>
  <c r="BP789" i="93"/>
  <c r="BO789" i="93"/>
  <c r="BN789" i="93"/>
  <c r="BM789" i="93"/>
  <c r="BL789" i="93"/>
  <c r="BJ789" i="93"/>
  <c r="BI789" i="93"/>
  <c r="BH789" i="93"/>
  <c r="BG789" i="93"/>
  <c r="BF789" i="93"/>
  <c r="BE789" i="93"/>
  <c r="BD789" i="93"/>
  <c r="BB789" i="93"/>
  <c r="BA789" i="93"/>
  <c r="AZ789" i="93"/>
  <c r="AY789" i="93"/>
  <c r="AX789" i="93"/>
  <c r="AW789" i="93"/>
  <c r="AV789" i="93"/>
  <c r="AT789" i="93"/>
  <c r="AS789" i="93"/>
  <c r="AR789" i="93"/>
  <c r="AQ789" i="93"/>
  <c r="AP789" i="93"/>
  <c r="AO789" i="93"/>
  <c r="AN789" i="93"/>
  <c r="AL789" i="93"/>
  <c r="AK789" i="93"/>
  <c r="AJ789" i="93"/>
  <c r="AI789" i="93"/>
  <c r="AH789" i="93"/>
  <c r="AG789" i="93"/>
  <c r="AF789" i="93"/>
  <c r="AD789" i="93"/>
  <c r="AC789" i="93"/>
  <c r="AB789" i="93"/>
  <c r="AA789" i="93"/>
  <c r="Z789" i="93"/>
  <c r="Y789" i="93"/>
  <c r="X789" i="93"/>
  <c r="IH788" i="93"/>
  <c r="IC788" i="93"/>
  <c r="IB788" i="93"/>
  <c r="IA788" i="93"/>
  <c r="HZ788" i="93"/>
  <c r="HY788" i="93"/>
  <c r="HX788" i="93"/>
  <c r="HV788" i="93"/>
  <c r="HU788" i="93"/>
  <c r="HT788" i="93"/>
  <c r="HS788" i="93"/>
  <c r="HR788" i="93"/>
  <c r="HQ788" i="93"/>
  <c r="HP788" i="93"/>
  <c r="HN788" i="93"/>
  <c r="HM788" i="93"/>
  <c r="HL788" i="93"/>
  <c r="HK788" i="93"/>
  <c r="HJ788" i="93"/>
  <c r="HI788" i="93"/>
  <c r="HH788" i="93"/>
  <c r="HF788" i="93"/>
  <c r="HE788" i="93"/>
  <c r="HD788" i="93"/>
  <c r="HC788" i="93"/>
  <c r="HB788" i="93"/>
  <c r="HA788" i="93"/>
  <c r="GZ788" i="93"/>
  <c r="GX788" i="93"/>
  <c r="GW788" i="93"/>
  <c r="GV788" i="93"/>
  <c r="GU788" i="93"/>
  <c r="GT788" i="93"/>
  <c r="GS788" i="93"/>
  <c r="GR788" i="93"/>
  <c r="GP788" i="93"/>
  <c r="GO788" i="93"/>
  <c r="GN788" i="93"/>
  <c r="GM788" i="93"/>
  <c r="GL788" i="93"/>
  <c r="GK788" i="93"/>
  <c r="GJ788" i="93"/>
  <c r="GH788" i="93"/>
  <c r="GG788" i="93"/>
  <c r="GF788" i="93"/>
  <c r="GE788" i="93"/>
  <c r="GD788" i="93"/>
  <c r="GC788" i="93"/>
  <c r="GB788" i="93"/>
  <c r="FZ788" i="93"/>
  <c r="FY788" i="93"/>
  <c r="FX788" i="93"/>
  <c r="FW788" i="93"/>
  <c r="FV788" i="93"/>
  <c r="FU788" i="93"/>
  <c r="FT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JP785" i="93"/>
  <c r="JL785" i="93"/>
  <c r="JH785" i="93"/>
  <c r="IW785" i="93"/>
  <c r="IV785" i="93"/>
  <c r="IS785" i="93"/>
  <c r="IR785" i="93"/>
  <c r="IK785" i="93"/>
  <c r="IJ785" i="93"/>
  <c r="II785" i="93"/>
  <c r="IH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O785" i="93"/>
  <c r="EN785" i="93"/>
  <c r="EK785" i="93"/>
  <c r="EJ785" i="93"/>
  <c r="DY785" i="93"/>
  <c r="DX785" i="93"/>
  <c r="DU785" i="93"/>
  <c r="DT785" i="93"/>
  <c r="DI785" i="93"/>
  <c r="DH785" i="93"/>
  <c r="DE785" i="93"/>
  <c r="DD785" i="93"/>
  <c r="DC785" i="93"/>
  <c r="DB785" i="93"/>
  <c r="DA785" i="93"/>
  <c r="CZ785" i="93"/>
  <c r="CY785" i="93"/>
  <c r="CX785" i="93"/>
  <c r="CW785" i="93"/>
  <c r="CV785" i="93"/>
  <c r="CU785" i="93"/>
  <c r="CT785" i="93"/>
  <c r="CQ785" i="93"/>
  <c r="CP785" i="93"/>
  <c r="CO785" i="93"/>
  <c r="CN785" i="93"/>
  <c r="CI785" i="93"/>
  <c r="CH785" i="93"/>
  <c r="CG785" i="93"/>
  <c r="CF785" i="93"/>
  <c r="CA785" i="93"/>
  <c r="BZ785" i="93"/>
  <c r="BY785" i="93"/>
  <c r="BX785" i="93"/>
  <c r="BW785" i="93"/>
  <c r="BV785" i="93"/>
  <c r="BU785" i="93"/>
  <c r="BS785" i="93"/>
  <c r="BR785" i="93"/>
  <c r="BQ785" i="93"/>
  <c r="BP785" i="93"/>
  <c r="BK785" i="93"/>
  <c r="BJ785" i="93"/>
  <c r="BI785" i="93"/>
  <c r="BH785" i="93"/>
  <c r="BC785" i="93"/>
  <c r="BB785" i="93"/>
  <c r="BA785" i="93"/>
  <c r="AZ785" i="93"/>
  <c r="AU785" i="93"/>
  <c r="AT785" i="93"/>
  <c r="AS785" i="93"/>
  <c r="AR785" i="93"/>
  <c r="AM785" i="93"/>
  <c r="AL785" i="93"/>
  <c r="AK785" i="93"/>
  <c r="AJ785" i="93"/>
  <c r="AE785" i="93"/>
  <c r="AD785" i="93"/>
  <c r="AC785" i="93"/>
  <c r="AB785" i="93"/>
  <c r="W785"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N780" i="93"/>
  <c r="HF780" i="93"/>
  <c r="FV780" i="93"/>
  <c r="CU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HH778" i="93"/>
  <c r="GZ778" i="93"/>
  <c r="GR778" i="93"/>
  <c r="GB778" i="93"/>
  <c r="FT778" i="93"/>
  <c r="FL778" i="93"/>
  <c r="CZ778" i="93"/>
  <c r="BV778" i="93"/>
  <c r="JN777" i="93"/>
  <c r="JJ777" i="93"/>
  <c r="JF777" i="93"/>
  <c r="JA777" i="93"/>
  <c r="IZ777" i="93"/>
  <c r="IY777" i="93"/>
  <c r="IW777" i="93"/>
  <c r="IQ777" i="93"/>
  <c r="IO777" i="93"/>
  <c r="IN777" i="93"/>
  <c r="IM777" i="93"/>
  <c r="IH777" i="93"/>
  <c r="IG777" i="93"/>
  <c r="IF777" i="93"/>
  <c r="IE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N777" i="93"/>
  <c r="EM777" i="93"/>
  <c r="EK777" i="93"/>
  <c r="EJ777" i="93"/>
  <c r="EC777" i="93"/>
  <c r="EB777" i="93"/>
  <c r="EA777" i="93"/>
  <c r="DY777" i="93"/>
  <c r="DS777" i="93"/>
  <c r="DQ777" i="93"/>
  <c r="DP777" i="93"/>
  <c r="DO777" i="93"/>
  <c r="DH777" i="93"/>
  <c r="DG777" i="93"/>
  <c r="DF777" i="93"/>
  <c r="DE777" i="93"/>
  <c r="DC777" i="93"/>
  <c r="DB777" i="93"/>
  <c r="DA777" i="93"/>
  <c r="CZ777" i="93"/>
  <c r="CY777" i="93"/>
  <c r="CX777" i="93"/>
  <c r="CW777" i="93"/>
  <c r="CV777" i="93"/>
  <c r="CU777" i="93"/>
  <c r="CT777" i="93"/>
  <c r="CR777" i="93"/>
  <c r="CQ777" i="93"/>
  <c r="CP777" i="93"/>
  <c r="CO777" i="93"/>
  <c r="CJ777" i="93"/>
  <c r="CI777" i="93"/>
  <c r="CH777" i="93"/>
  <c r="CG777" i="93"/>
  <c r="CB777" i="93"/>
  <c r="CA777" i="93"/>
  <c r="BZ777" i="93"/>
  <c r="BY777" i="93"/>
  <c r="BX777" i="93"/>
  <c r="BW777" i="93"/>
  <c r="BV777" i="93"/>
  <c r="BU777" i="93"/>
  <c r="BT777" i="93"/>
  <c r="BS777" i="93"/>
  <c r="BR777" i="93"/>
  <c r="BQ777" i="93"/>
  <c r="BL777" i="93"/>
  <c r="BK777" i="93"/>
  <c r="BJ777" i="93"/>
  <c r="BI777" i="93"/>
  <c r="BD777" i="93"/>
  <c r="BC777" i="93"/>
  <c r="BB777" i="93"/>
  <c r="BA777" i="93"/>
  <c r="AV777" i="93"/>
  <c r="AU777" i="93"/>
  <c r="AT777" i="93"/>
  <c r="AS777" i="93"/>
  <c r="AN777" i="93"/>
  <c r="AM777" i="93"/>
  <c r="AL777" i="93"/>
  <c r="AK777" i="93"/>
  <c r="AF777" i="93"/>
  <c r="AE777" i="93"/>
  <c r="AD777" i="93"/>
  <c r="AC777" i="93"/>
  <c r="X777" i="93"/>
  <c r="W777"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FF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C772" i="93"/>
  <c r="DB772" i="93"/>
  <c r="DA772" i="93"/>
  <c r="CZ772" i="93"/>
  <c r="CY772" i="93"/>
  <c r="CX772" i="93"/>
  <c r="CW772" i="93"/>
  <c r="CV772" i="93"/>
  <c r="CU772" i="93"/>
  <c r="CT772" i="93"/>
  <c r="BY772" i="93"/>
  <c r="BX772" i="93"/>
  <c r="BW772" i="93"/>
  <c r="BV772" i="93"/>
  <c r="BU772" i="93"/>
  <c r="JL771" i="93"/>
  <c r="JF771" i="93"/>
  <c r="IX771" i="93"/>
  <c r="IL771" i="93"/>
  <c r="IB771" i="93"/>
  <c r="HV771" i="93"/>
  <c r="HP771" i="93"/>
  <c r="HJ771" i="93"/>
  <c r="HD771" i="93"/>
  <c r="GX771" i="93"/>
  <c r="GR771" i="93"/>
  <c r="GL771" i="93"/>
  <c r="GF771" i="93"/>
  <c r="FZ771" i="93"/>
  <c r="FT771" i="93"/>
  <c r="FN771" i="93"/>
  <c r="FH771" i="93"/>
  <c r="FB771" i="93"/>
  <c r="ET771" i="93"/>
  <c r="EH771" i="93"/>
  <c r="DV771" i="93"/>
  <c r="DJ771" i="93"/>
  <c r="DA771" i="93"/>
  <c r="CP771" i="93"/>
  <c r="CD771" i="93"/>
  <c r="BV771" i="93"/>
  <c r="BA771" i="93"/>
  <c r="AK771" i="93"/>
  <c r="Y771" i="93"/>
  <c r="IA770" i="93"/>
  <c r="HQ770" i="93"/>
  <c r="HK770" i="93"/>
  <c r="HF770" i="93"/>
  <c r="GU770" i="93"/>
  <c r="GP770" i="93"/>
  <c r="GK770" i="93"/>
  <c r="FZ770" i="93"/>
  <c r="FU770" i="93"/>
  <c r="FO770" i="93"/>
  <c r="FE770" i="93"/>
  <c r="ES770" i="93"/>
  <c r="CI770" i="93"/>
  <c r="AM770" i="93"/>
  <c r="JQ769" i="93"/>
  <c r="JM769" i="93"/>
  <c r="JI769" i="93"/>
  <c r="JE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Q769" i="93"/>
  <c r="DG769" i="93"/>
  <c r="DC769" i="93"/>
  <c r="DB769" i="93"/>
  <c r="DA769" i="93"/>
  <c r="CZ769" i="93"/>
  <c r="CY769" i="93"/>
  <c r="CX769" i="93"/>
  <c r="CW769" i="93"/>
  <c r="CV769" i="93"/>
  <c r="CU769" i="93"/>
  <c r="CT769" i="93"/>
  <c r="CC769" i="93"/>
  <c r="BY769" i="93"/>
  <c r="BX769" i="93"/>
  <c r="BW769" i="93"/>
  <c r="BV769" i="93"/>
  <c r="BU769" i="93"/>
  <c r="BE769" i="93"/>
  <c r="JO768" i="93"/>
  <c r="HV768" i="93"/>
  <c r="HA768" i="93"/>
  <c r="GE768" i="93"/>
  <c r="FJ768" i="93"/>
  <c r="DB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Y777" i="93" l="1"/>
  <c r="AG777" i="93"/>
  <c r="AO777" i="93"/>
  <c r="AW777" i="93"/>
  <c r="BE777" i="93"/>
  <c r="BM777" i="93"/>
  <c r="CC777" i="93"/>
  <c r="CK777" i="93"/>
  <c r="CS777" i="93"/>
  <c r="DI777" i="93"/>
  <c r="DT777" i="93"/>
  <c r="EE777" i="93"/>
  <c r="EO777" i="93"/>
  <c r="II777" i="93"/>
  <c r="IR777" i="93"/>
  <c r="X785" i="93"/>
  <c r="AF785" i="93"/>
  <c r="AN785" i="93"/>
  <c r="AV785" i="93"/>
  <c r="BD785" i="93"/>
  <c r="BL785" i="93"/>
  <c r="BT785" i="93"/>
  <c r="CB785" i="93"/>
  <c r="CJ785" i="93"/>
  <c r="CR785" i="93"/>
  <c r="DL785" i="93"/>
  <c r="EB785" i="93"/>
  <c r="ER785" i="93"/>
  <c r="ID785" i="93"/>
  <c r="IL785" i="93"/>
  <c r="IZ785" i="93"/>
  <c r="AI791" i="93"/>
  <c r="BZ791" i="93"/>
  <c r="DR791" i="93"/>
  <c r="FA791" i="93"/>
  <c r="GC791" i="93"/>
  <c r="HT791" i="93"/>
  <c r="AD793" i="93"/>
  <c r="AX793" i="93"/>
  <c r="BQ793" i="93"/>
  <c r="CG793" i="93"/>
  <c r="EL793" i="93"/>
  <c r="AO797" i="93"/>
  <c r="EH799" i="93"/>
  <c r="FE800" i="93"/>
  <c r="GP800" i="93"/>
  <c r="IF793" i="93"/>
  <c r="ID793" i="93"/>
  <c r="IH793" i="93"/>
  <c r="IG793" i="93"/>
  <c r="Z777" i="93"/>
  <c r="AH777" i="93"/>
  <c r="AP777" i="93"/>
  <c r="AX777" i="93"/>
  <c r="BF777" i="93"/>
  <c r="BN777" i="93"/>
  <c r="CD777" i="93"/>
  <c r="CL777" i="93"/>
  <c r="DK777" i="93"/>
  <c r="DU777" i="93"/>
  <c r="EF777" i="93"/>
  <c r="EQ777" i="93"/>
  <c r="IJ777" i="93"/>
  <c r="IS777" i="93"/>
  <c r="Y785" i="93"/>
  <c r="AG785" i="93"/>
  <c r="AO785" i="93"/>
  <c r="AW785" i="93"/>
  <c r="BE785" i="93"/>
  <c r="BM785" i="93"/>
  <c r="CC785" i="93"/>
  <c r="CK785" i="93"/>
  <c r="CS785" i="93"/>
  <c r="DM785" i="93"/>
  <c r="EC785" i="93"/>
  <c r="ES785" i="93"/>
  <c r="IE785" i="93"/>
  <c r="IM785" i="93"/>
  <c r="JA785" i="93"/>
  <c r="AE793" i="93"/>
  <c r="AZ793" i="93"/>
  <c r="BR793" i="93"/>
  <c r="CK793" i="93"/>
  <c r="DJ793" i="93"/>
  <c r="EP793" i="93"/>
  <c r="IL793" i="93"/>
  <c r="AD801" i="93"/>
  <c r="ID799" i="93"/>
  <c r="IH799"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JB791" i="93"/>
  <c r="HQ791" i="93"/>
  <c r="GJ791" i="93"/>
  <c r="FP791" i="93"/>
  <c r="EX791" i="93"/>
  <c r="DL791" i="93"/>
  <c r="CP791" i="93"/>
  <c r="BU791" i="93"/>
  <c r="IV791" i="93"/>
  <c r="HD791" i="93"/>
  <c r="GG791" i="93"/>
  <c r="FM791" i="93"/>
  <c r="ET791" i="93"/>
  <c r="DK791" i="93"/>
  <c r="CN791" i="93"/>
  <c r="BB791" i="93"/>
  <c r="JL799" i="93"/>
  <c r="IN799" i="93"/>
  <c r="HF799" i="93"/>
  <c r="FZ799" i="93"/>
  <c r="EZ799" i="93"/>
  <c r="EA799" i="93"/>
  <c r="DA799" i="93"/>
  <c r="CE799" i="93"/>
  <c r="AZ799" i="93"/>
  <c r="JJ799" i="93"/>
  <c r="GX799" i="93"/>
  <c r="FR799" i="93"/>
  <c r="EX799" i="93"/>
  <c r="DP799" i="93"/>
  <c r="CY799" i="93"/>
  <c r="BX799" i="93"/>
  <c r="AI799" i="93"/>
  <c r="JI799" i="93"/>
  <c r="HY799" i="93"/>
  <c r="GS799" i="93"/>
  <c r="FM799" i="93"/>
  <c r="EW799" i="93"/>
  <c r="DN799" i="93"/>
  <c r="CW799" i="93"/>
  <c r="BW799" i="93"/>
  <c r="AA799" i="93"/>
  <c r="JH799" i="93"/>
  <c r="HV799" i="93"/>
  <c r="GP799" i="93"/>
  <c r="FJ799" i="93"/>
  <c r="ER799" i="93"/>
  <c r="DG799" i="93"/>
  <c r="CV799" i="93"/>
  <c r="BV799" i="93"/>
  <c r="X799" i="93"/>
  <c r="HN799" i="93"/>
  <c r="FB799" i="93"/>
  <c r="DC799" i="93"/>
  <c r="BT799" i="93"/>
  <c r="JM799" i="93"/>
  <c r="HI799" i="93"/>
  <c r="FA799" i="93"/>
  <c r="DB799" i="93"/>
  <c r="BD799" i="93"/>
  <c r="IQ799" i="93"/>
  <c r="FE799" i="93"/>
  <c r="CR799" i="93"/>
  <c r="EY799" i="93"/>
  <c r="CP799" i="93"/>
  <c r="HQ799" i="93"/>
  <c r="EQ799" i="93"/>
  <c r="CI799" i="93"/>
  <c r="JG795" i="93"/>
  <c r="JO795" i="93"/>
  <c r="JL795" i="93"/>
  <c r="JK795" i="93"/>
  <c r="JF795" i="93"/>
  <c r="JH795" i="93"/>
  <c r="JP803" i="93"/>
  <c r="JK803" i="93"/>
  <c r="JJ803" i="93"/>
  <c r="JI803" i="93"/>
  <c r="JL803" i="93"/>
  <c r="JE803" i="93"/>
  <c r="JD803" i="93"/>
  <c r="BS795" i="93"/>
  <c r="BM795" i="93"/>
  <c r="BD795" i="93"/>
  <c r="BE803" i="93"/>
  <c r="CX803" i="93"/>
  <c r="CW803" i="93"/>
  <c r="HB795" i="93"/>
  <c r="FV795" i="93"/>
  <c r="HZ795" i="93"/>
  <c r="GT795" i="93"/>
  <c r="FN795" i="93"/>
  <c r="HY795" i="93"/>
  <c r="GS795" i="93"/>
  <c r="FM795" i="93"/>
  <c r="HR795" i="93"/>
  <c r="GL795" i="93"/>
  <c r="FF795" i="93"/>
  <c r="HA795" i="93"/>
  <c r="GK795" i="93"/>
  <c r="GC795" i="93"/>
  <c r="FU795" i="93"/>
  <c r="GY803" i="93"/>
  <c r="FL803" i="93"/>
  <c r="HX803" i="93"/>
  <c r="GQ803" i="93"/>
  <c r="FC803" i="93"/>
  <c r="HW803" i="93"/>
  <c r="GJ803" i="93"/>
  <c r="HP803" i="93"/>
  <c r="GB803" i="93"/>
  <c r="FD803" i="93"/>
  <c r="HO803" i="93"/>
  <c r="FT803" i="93"/>
  <c r="FS803" i="93"/>
  <c r="AA777" i="93"/>
  <c r="AI777" i="93"/>
  <c r="AQ777" i="93"/>
  <c r="AY777" i="93"/>
  <c r="BG777" i="93"/>
  <c r="BO777" i="93"/>
  <c r="CE777" i="93"/>
  <c r="CM777" i="93"/>
  <c r="DL777" i="93"/>
  <c r="DW777" i="93"/>
  <c r="EG777" i="93"/>
  <c r="ER777" i="93"/>
  <c r="IK777" i="93"/>
  <c r="IU777" i="93"/>
  <c r="Z785" i="93"/>
  <c r="AH785" i="93"/>
  <c r="AP785" i="93"/>
  <c r="AX785" i="93"/>
  <c r="BF785" i="93"/>
  <c r="BN785" i="93"/>
  <c r="CD785" i="93"/>
  <c r="CL785" i="93"/>
  <c r="DP785" i="93"/>
  <c r="EF785" i="93"/>
  <c r="EV785" i="93"/>
  <c r="IF785" i="93"/>
  <c r="IN785" i="93"/>
  <c r="AK793" i="93"/>
  <c r="BA793" i="93"/>
  <c r="BT793" i="93"/>
  <c r="CO793" i="93"/>
  <c r="DL793" i="93"/>
  <c r="ER793" i="93"/>
  <c r="IN793" i="93"/>
  <c r="AL801" i="93"/>
  <c r="HW800" i="93"/>
  <c r="HO800" i="93"/>
  <c r="HG800" i="93"/>
  <c r="GY800" i="93"/>
  <c r="GQ800" i="93"/>
  <c r="GI800" i="93"/>
  <c r="GA800" i="93"/>
  <c r="FS800" i="93"/>
  <c r="FK800" i="93"/>
  <c r="FC800" i="93"/>
  <c r="DC800" i="93"/>
  <c r="CT800" i="93"/>
  <c r="IE800" i="93"/>
  <c r="HU800" i="93"/>
  <c r="HM800" i="93"/>
  <c r="HE800" i="93"/>
  <c r="GW800" i="93"/>
  <c r="GO800" i="93"/>
  <c r="GG800" i="93"/>
  <c r="FY800" i="93"/>
  <c r="FQ800" i="93"/>
  <c r="FI800" i="93"/>
  <c r="FA800" i="93"/>
  <c r="DA800" i="93"/>
  <c r="BX800" i="93"/>
  <c r="IC800" i="93"/>
  <c r="HT800" i="93"/>
  <c r="HL800" i="93"/>
  <c r="HD800" i="93"/>
  <c r="GV800" i="93"/>
  <c r="GN800" i="93"/>
  <c r="GF800" i="93"/>
  <c r="FX800" i="93"/>
  <c r="FP800" i="93"/>
  <c r="FH800" i="93"/>
  <c r="EZ800" i="93"/>
  <c r="CZ800" i="93"/>
  <c r="BW800" i="93"/>
  <c r="IA800" i="93"/>
  <c r="HS800" i="93"/>
  <c r="HK800" i="93"/>
  <c r="HC800" i="93"/>
  <c r="GU800" i="93"/>
  <c r="GM800" i="93"/>
  <c r="GE800" i="93"/>
  <c r="FW800" i="93"/>
  <c r="FO800" i="93"/>
  <c r="FG800" i="93"/>
  <c r="EY800" i="93"/>
  <c r="CY800" i="93"/>
  <c r="BV800" i="93"/>
  <c r="HY800" i="93"/>
  <c r="HI800" i="93"/>
  <c r="GS800" i="93"/>
  <c r="GC800" i="93"/>
  <c r="FM800" i="93"/>
  <c r="EW800" i="93"/>
  <c r="AM800" i="93"/>
  <c r="HX800" i="93"/>
  <c r="HH800" i="93"/>
  <c r="GR800" i="93"/>
  <c r="GB800" i="93"/>
  <c r="FL800" i="93"/>
  <c r="DZ800" i="93"/>
  <c r="HZ800" i="93"/>
  <c r="HB800" i="93"/>
  <c r="GJ800" i="93"/>
  <c r="FN800" i="93"/>
  <c r="CX800" i="93"/>
  <c r="HV800" i="93"/>
  <c r="HA800" i="93"/>
  <c r="GH800" i="93"/>
  <c r="FJ800" i="93"/>
  <c r="CV800" i="93"/>
  <c r="HR800" i="93"/>
  <c r="GZ800" i="93"/>
  <c r="GD800" i="93"/>
  <c r="FF800" i="93"/>
  <c r="CU800" i="93"/>
  <c r="JP796" i="93"/>
  <c r="JH796" i="93"/>
  <c r="JN796" i="93"/>
  <c r="JF796" i="93"/>
  <c r="JM796" i="93"/>
  <c r="JE796" i="93"/>
  <c r="JL796" i="93"/>
  <c r="JD796" i="93"/>
  <c r="JJ796" i="93"/>
  <c r="JI796" i="93"/>
  <c r="JQ796" i="93"/>
  <c r="CU796" i="93"/>
  <c r="CX796" i="93"/>
  <c r="CV796" i="93"/>
  <c r="CT796" i="93"/>
  <c r="ER782" i="93"/>
  <c r="HW788" i="93"/>
  <c r="HO788" i="93"/>
  <c r="HG788" i="93"/>
  <c r="GY788" i="93"/>
  <c r="GQ788" i="93"/>
  <c r="GI788" i="93"/>
  <c r="GA788" i="93"/>
  <c r="FS788" i="93"/>
  <c r="IA796" i="93"/>
  <c r="HS796" i="93"/>
  <c r="HK796" i="93"/>
  <c r="HC796" i="93"/>
  <c r="GU796" i="93"/>
  <c r="GM796" i="93"/>
  <c r="GE796" i="93"/>
  <c r="FW796" i="93"/>
  <c r="FO796" i="93"/>
  <c r="FG796" i="93"/>
  <c r="HY796" i="93"/>
  <c r="HQ796" i="93"/>
  <c r="HI796" i="93"/>
  <c r="HA796" i="93"/>
  <c r="GS796" i="93"/>
  <c r="GK796" i="93"/>
  <c r="GC796" i="93"/>
  <c r="FU796" i="93"/>
  <c r="FM796" i="93"/>
  <c r="FE796" i="93"/>
  <c r="HX796" i="93"/>
  <c r="HP796" i="93"/>
  <c r="HH796" i="93"/>
  <c r="GZ796" i="93"/>
  <c r="GR796" i="93"/>
  <c r="GJ796" i="93"/>
  <c r="GB796" i="93"/>
  <c r="FT796" i="93"/>
  <c r="FL796" i="93"/>
  <c r="FD796" i="93"/>
  <c r="HW796" i="93"/>
  <c r="HO796" i="93"/>
  <c r="HG796" i="93"/>
  <c r="GY796" i="93"/>
  <c r="GQ796" i="93"/>
  <c r="GI796" i="93"/>
  <c r="GA796" i="93"/>
  <c r="FS796" i="93"/>
  <c r="FK796" i="93"/>
  <c r="FC796" i="93"/>
  <c r="HU796" i="93"/>
  <c r="HE796" i="93"/>
  <c r="GO796" i="93"/>
  <c r="FY796" i="93"/>
  <c r="FI796" i="93"/>
  <c r="HT796" i="93"/>
  <c r="HD796" i="93"/>
  <c r="GN796" i="93"/>
  <c r="FX796" i="93"/>
  <c r="FH796" i="93"/>
  <c r="IB796" i="93"/>
  <c r="HF796" i="93"/>
  <c r="GH796" i="93"/>
  <c r="FP796" i="93"/>
  <c r="HZ796" i="93"/>
  <c r="HB796" i="93"/>
  <c r="GG796" i="93"/>
  <c r="FN796" i="93"/>
  <c r="HV796" i="93"/>
  <c r="GX796" i="93"/>
  <c r="GF796" i="93"/>
  <c r="FJ796" i="93"/>
  <c r="L885" i="93"/>
  <c r="C976" i="93"/>
  <c r="AB777" i="93"/>
  <c r="AJ777" i="93"/>
  <c r="AR777" i="93"/>
  <c r="AZ777" i="93"/>
  <c r="BH777" i="93"/>
  <c r="BP777" i="93"/>
  <c r="CF777" i="93"/>
  <c r="CN777" i="93"/>
  <c r="DD777" i="93"/>
  <c r="DM777" i="93"/>
  <c r="DX777" i="93"/>
  <c r="EI777" i="93"/>
  <c r="ES777" i="93"/>
  <c r="ID777" i="93"/>
  <c r="IL777" i="93"/>
  <c r="AA785" i="93"/>
  <c r="AI785" i="93"/>
  <c r="AQ785" i="93"/>
  <c r="AY785" i="93"/>
  <c r="BG785" i="93"/>
  <c r="BO785" i="93"/>
  <c r="CE785" i="93"/>
  <c r="CM785" i="93"/>
  <c r="DQ785" i="93"/>
  <c r="EG785" i="93"/>
  <c r="IG785" i="93"/>
  <c r="AL793" i="93"/>
  <c r="BE793" i="93"/>
  <c r="CP793" i="93"/>
  <c r="DP793" i="93"/>
  <c r="IW793" i="93"/>
  <c r="BU799" i="93"/>
  <c r="GC799" i="93"/>
  <c r="IH797" i="93"/>
  <c r="IF797" i="93"/>
  <c r="ID789" i="93"/>
  <c r="IE789" i="93"/>
  <c r="IX793" i="93"/>
  <c r="IS793" i="93"/>
  <c r="HW793" i="93"/>
  <c r="HO793" i="93"/>
  <c r="IR793" i="93"/>
  <c r="HV793" i="93"/>
  <c r="HN793" i="93"/>
  <c r="HF793" i="93"/>
  <c r="GX793" i="93"/>
  <c r="JO793" i="93"/>
  <c r="HU793" i="93"/>
  <c r="HK793" i="93"/>
  <c r="HB793" i="93"/>
  <c r="GS793" i="93"/>
  <c r="GK793" i="93"/>
  <c r="GC793" i="93"/>
  <c r="FU793" i="93"/>
  <c r="FM793" i="93"/>
  <c r="FE793" i="93"/>
  <c r="EW793" i="93"/>
  <c r="EB793" i="93"/>
  <c r="DF793" i="93"/>
  <c r="CT793" i="93"/>
  <c r="CJ793" i="93"/>
  <c r="BY793" i="93"/>
  <c r="BN793" i="93"/>
  <c r="BD793" i="93"/>
  <c r="AS793" i="93"/>
  <c r="AH793" i="93"/>
  <c r="Z793" i="93"/>
  <c r="JC793" i="93"/>
  <c r="HT793" i="93"/>
  <c r="HJ793" i="93"/>
  <c r="HA793" i="93"/>
  <c r="GR793" i="93"/>
  <c r="GJ793" i="93"/>
  <c r="GB793" i="93"/>
  <c r="FT793" i="93"/>
  <c r="FL793" i="93"/>
  <c r="FD793" i="93"/>
  <c r="EV793" i="93"/>
  <c r="DZ793" i="93"/>
  <c r="DE793" i="93"/>
  <c r="CS793" i="93"/>
  <c r="CH793" i="93"/>
  <c r="BX793" i="93"/>
  <c r="BM793" i="93"/>
  <c r="BB793" i="93"/>
  <c r="AR793" i="93"/>
  <c r="AG793" i="93"/>
  <c r="Y793" i="93"/>
  <c r="IB793" i="93"/>
  <c r="HP793" i="93"/>
  <c r="HC793" i="93"/>
  <c r="GP793" i="93"/>
  <c r="GF793" i="93"/>
  <c r="FV793" i="93"/>
  <c r="FJ793" i="93"/>
  <c r="EZ793" i="93"/>
  <c r="EF793" i="93"/>
  <c r="DA793" i="93"/>
  <c r="CN793" i="93"/>
  <c r="BZ793" i="93"/>
  <c r="BJ793" i="93"/>
  <c r="AW793" i="93"/>
  <c r="AJ793" i="93"/>
  <c r="W793" i="93"/>
  <c r="JB793" i="93"/>
  <c r="IA793" i="93"/>
  <c r="HM793" i="93"/>
  <c r="GZ793" i="93"/>
  <c r="GO793" i="93"/>
  <c r="GE793" i="93"/>
  <c r="FS793" i="93"/>
  <c r="FI793" i="93"/>
  <c r="EY793" i="93"/>
  <c r="DV793" i="93"/>
  <c r="CZ793" i="93"/>
  <c r="CL793" i="93"/>
  <c r="BV793" i="93"/>
  <c r="BI793" i="93"/>
  <c r="AV793" i="93"/>
  <c r="AF793" i="93"/>
  <c r="HK801" i="93"/>
  <c r="FY801" i="93"/>
  <c r="DX801" i="93"/>
  <c r="BR801" i="93"/>
  <c r="Z801" i="93"/>
  <c r="HA801" i="93"/>
  <c r="FO801" i="93"/>
  <c r="CX801" i="93"/>
  <c r="BF801" i="93"/>
  <c r="GU801" i="93"/>
  <c r="FK801" i="93"/>
  <c r="CP801" i="93"/>
  <c r="AX801" i="93"/>
  <c r="JL801" i="93"/>
  <c r="GQ801" i="93"/>
  <c r="FD801" i="93"/>
  <c r="CL801" i="93"/>
  <c r="AU801" i="93"/>
  <c r="GF801" i="93"/>
  <c r="CA801" i="93"/>
  <c r="GE801" i="93"/>
  <c r="BS801" i="93"/>
  <c r="IA801" i="93"/>
  <c r="EC801" i="93"/>
  <c r="HX801" i="93"/>
  <c r="CY801" i="93"/>
  <c r="HP801" i="93"/>
  <c r="CD801" i="93"/>
  <c r="EE795" i="93"/>
  <c r="JA795" i="93"/>
  <c r="DX795" i="93"/>
  <c r="IZ795" i="93"/>
  <c r="EU795" i="93"/>
  <c r="DS795" i="93"/>
  <c r="IU795" i="93"/>
  <c r="ES795" i="93"/>
  <c r="DP795" i="93"/>
  <c r="DI795" i="93"/>
  <c r="IR795" i="93"/>
  <c r="DD795" i="93"/>
  <c r="EN795" i="93"/>
  <c r="EK795" i="93"/>
  <c r="IS803" i="93"/>
  <c r="EO803" i="93"/>
  <c r="ED803" i="93"/>
  <c r="DT803" i="93"/>
  <c r="DP803" i="93"/>
  <c r="DD803" i="93"/>
  <c r="DE803" i="93"/>
  <c r="GM789" i="93"/>
  <c r="GC789" i="93"/>
  <c r="FS789" i="93"/>
  <c r="FG789" i="93"/>
  <c r="K885" i="93"/>
  <c r="M894" i="93"/>
  <c r="BH797" i="93"/>
  <c r="EP797" i="93"/>
  <c r="FX797" i="93"/>
  <c r="GV797" i="93"/>
  <c r="IB797" i="93"/>
  <c r="W789" i="93"/>
  <c r="AE789" i="93"/>
  <c r="AM789" i="93"/>
  <c r="AU789" i="93"/>
  <c r="BC789" i="93"/>
  <c r="BK789" i="93"/>
  <c r="BS789" i="93"/>
  <c r="CA789" i="93"/>
  <c r="CI789" i="93"/>
  <c r="CQ789" i="93"/>
  <c r="CY789" i="93"/>
  <c r="DK789" i="93"/>
  <c r="EA789" i="93"/>
  <c r="EU789" i="93"/>
  <c r="FF789" i="93"/>
  <c r="FP789" i="93"/>
  <c r="GB789" i="93"/>
  <c r="GL789" i="93"/>
  <c r="GV789" i="93"/>
  <c r="HH789" i="93"/>
  <c r="HR789" i="93"/>
  <c r="IB789" i="93"/>
  <c r="IP789" i="93"/>
  <c r="CK795" i="93"/>
  <c r="X797" i="93"/>
  <c r="BS797" i="93"/>
  <c r="EZ797" i="93"/>
  <c r="FZ797" i="93"/>
  <c r="HB797" i="93"/>
  <c r="IM797" i="93"/>
  <c r="GY789" i="93"/>
  <c r="HI789" i="93"/>
  <c r="HS789" i="93"/>
  <c r="Y797" i="93"/>
  <c r="CD797" i="93"/>
  <c r="FC797" i="93"/>
  <c r="GA797" i="93"/>
  <c r="HG797" i="93"/>
  <c r="IW769" i="93"/>
  <c r="JB789" i="93"/>
  <c r="IL789" i="93"/>
  <c r="HV789" i="93"/>
  <c r="HN789" i="93"/>
  <c r="HF789" i="93"/>
  <c r="GX789" i="93"/>
  <c r="GP789" i="93"/>
  <c r="GH789" i="93"/>
  <c r="FZ789" i="93"/>
  <c r="FR789" i="93"/>
  <c r="FJ789" i="93"/>
  <c r="FB789" i="93"/>
  <c r="EQ789" i="93"/>
  <c r="IY789" i="93"/>
  <c r="IK789" i="93"/>
  <c r="IC789" i="93"/>
  <c r="HU789" i="93"/>
  <c r="HM789" i="93"/>
  <c r="HE789" i="93"/>
  <c r="GW789" i="93"/>
  <c r="GO789" i="93"/>
  <c r="GG789" i="93"/>
  <c r="FY789" i="93"/>
  <c r="FQ789" i="93"/>
  <c r="FI789" i="93"/>
  <c r="FA789" i="93"/>
  <c r="EP789" i="93"/>
  <c r="IV797" i="93"/>
  <c r="HX797" i="93"/>
  <c r="HN797" i="93"/>
  <c r="HC797" i="93"/>
  <c r="GR797" i="93"/>
  <c r="GH797" i="93"/>
  <c r="FW797" i="93"/>
  <c r="FL797" i="93"/>
  <c r="FB797" i="93"/>
  <c r="DX797" i="93"/>
  <c r="CR797" i="93"/>
  <c r="BW797" i="93"/>
  <c r="BB797" i="93"/>
  <c r="AJ797" i="93"/>
  <c r="IL797" i="93"/>
  <c r="HV797" i="93"/>
  <c r="HK797" i="93"/>
  <c r="GZ797" i="93"/>
  <c r="GP797" i="93"/>
  <c r="GE797" i="93"/>
  <c r="FT797" i="93"/>
  <c r="FJ797" i="93"/>
  <c r="EY797" i="93"/>
  <c r="DN797" i="93"/>
  <c r="CM797" i="93"/>
  <c r="BR797" i="93"/>
  <c r="AV797" i="93"/>
  <c r="AF797" i="93"/>
  <c r="HT797" i="93"/>
  <c r="HJ797" i="93"/>
  <c r="GY797" i="93"/>
  <c r="GN797" i="93"/>
  <c r="GD797" i="93"/>
  <c r="FS797" i="93"/>
  <c r="FH797" i="93"/>
  <c r="EX797" i="93"/>
  <c r="DJ797" i="93"/>
  <c r="CI797" i="93"/>
  <c r="BN797" i="93"/>
  <c r="AS797" i="93"/>
  <c r="AC797" i="93"/>
  <c r="HS797" i="93"/>
  <c r="HH797" i="93"/>
  <c r="GX797" i="93"/>
  <c r="GM797" i="93"/>
  <c r="GB797" i="93"/>
  <c r="FR797" i="93"/>
  <c r="FG797" i="93"/>
  <c r="ET797" i="93"/>
  <c r="DC797" i="93"/>
  <c r="CH797" i="93"/>
  <c r="BL797" i="93"/>
  <c r="AR797" i="93"/>
  <c r="AB797" i="93"/>
  <c r="IA797" i="93"/>
  <c r="HF797" i="93"/>
  <c r="GJ797" i="93"/>
  <c r="FO797" i="93"/>
  <c r="EI797" i="93"/>
  <c r="CB797" i="93"/>
  <c r="AN797" i="93"/>
  <c r="HZ797" i="93"/>
  <c r="HD797" i="93"/>
  <c r="GI797" i="93"/>
  <c r="FN797" i="93"/>
  <c r="EE797" i="93"/>
  <c r="BX797" i="93"/>
  <c r="AK797" i="93"/>
  <c r="IF795" i="93"/>
  <c r="DC795" i="93"/>
  <c r="CQ795" i="93"/>
  <c r="BV795" i="93"/>
  <c r="AI795" i="93"/>
  <c r="DA795" i="93"/>
  <c r="CI795" i="93"/>
  <c r="AB795" i="93"/>
  <c r="CZ795" i="93"/>
  <c r="CC795" i="93"/>
  <c r="W795" i="93"/>
  <c r="CY795" i="93"/>
  <c r="CB795" i="93"/>
  <c r="BX795" i="93"/>
  <c r="BW795" i="93"/>
  <c r="DB803" i="93"/>
  <c r="CR803" i="93"/>
  <c r="CZ803" i="93"/>
  <c r="CD803" i="93"/>
  <c r="AH803" i="93"/>
  <c r="CY803" i="93"/>
  <c r="BY803" i="93"/>
  <c r="AC803" i="93"/>
  <c r="BX803" i="93"/>
  <c r="IH803" i="93"/>
  <c r="BV803" i="93"/>
  <c r="DC803" i="93"/>
  <c r="BU803" i="93"/>
  <c r="G889" i="93"/>
  <c r="K894" i="93"/>
  <c r="O898" i="93"/>
  <c r="G907" i="93"/>
  <c r="O907" i="93"/>
  <c r="GU782" i="93"/>
  <c r="J907" i="93"/>
  <c r="IF803" i="93"/>
  <c r="JQ771" i="93"/>
  <c r="J912" i="93"/>
  <c r="AB794" i="93"/>
  <c r="P894" i="93"/>
  <c r="EY770" i="93"/>
  <c r="P889" i="93"/>
  <c r="H907" i="93"/>
  <c r="Z771" i="93"/>
  <c r="CS771" i="93"/>
  <c r="EW771" i="93"/>
  <c r="FU771" i="93"/>
  <c r="GS771" i="93"/>
  <c r="HW771" i="93"/>
  <c r="JG771" i="93"/>
  <c r="AC771" i="93"/>
  <c r="AO771" i="93"/>
  <c r="BI771" i="93"/>
  <c r="BX771" i="93"/>
  <c r="CH771" i="93"/>
  <c r="CV771" i="93"/>
  <c r="DC771" i="93"/>
  <c r="DN771" i="93"/>
  <c r="DZ771" i="93"/>
  <c r="EL771" i="93"/>
  <c r="EX771" i="93"/>
  <c r="FD771" i="93"/>
  <c r="FJ771" i="93"/>
  <c r="FP771" i="93"/>
  <c r="FV771" i="93"/>
  <c r="GB771" i="93"/>
  <c r="GH771" i="93"/>
  <c r="GN771" i="93"/>
  <c r="GT771" i="93"/>
  <c r="GZ771" i="93"/>
  <c r="HF771" i="93"/>
  <c r="HL771" i="93"/>
  <c r="HR771" i="93"/>
  <c r="HX771" i="93"/>
  <c r="ID771" i="93"/>
  <c r="IP771" i="93"/>
  <c r="JB771" i="93"/>
  <c r="JH771" i="93"/>
  <c r="JN771" i="93"/>
  <c r="AL771" i="93"/>
  <c r="DB771" i="93"/>
  <c r="EK771" i="93"/>
  <c r="FO771" i="93"/>
  <c r="GM771" i="93"/>
  <c r="HK771" i="93"/>
  <c r="JM771" i="93"/>
  <c r="AD771" i="93"/>
  <c r="AP771" i="93"/>
  <c r="BN771" i="93"/>
  <c r="BY771" i="93"/>
  <c r="CK771" i="93"/>
  <c r="CW771" i="93"/>
  <c r="DE771" i="93"/>
  <c r="DQ771" i="93"/>
  <c r="EC771" i="93"/>
  <c r="EO771" i="93"/>
  <c r="EY771" i="93"/>
  <c r="FE771" i="93"/>
  <c r="FK771" i="93"/>
  <c r="FQ771" i="93"/>
  <c r="FW771" i="93"/>
  <c r="GC771" i="93"/>
  <c r="GI771" i="93"/>
  <c r="GO771" i="93"/>
  <c r="GU771" i="93"/>
  <c r="HA771" i="93"/>
  <c r="HG771" i="93"/>
  <c r="HM771" i="93"/>
  <c r="HS771" i="93"/>
  <c r="HY771" i="93"/>
  <c r="IG771" i="93"/>
  <c r="IS771" i="93"/>
  <c r="JC771" i="93"/>
  <c r="JI771" i="93"/>
  <c r="JO771" i="93"/>
  <c r="BF771" i="93"/>
  <c r="CG771" i="93"/>
  <c r="DY771" i="93"/>
  <c r="FI771" i="93"/>
  <c r="GA771" i="93"/>
  <c r="GY771" i="93"/>
  <c r="HQ771" i="93"/>
  <c r="IO771" i="93"/>
  <c r="AG771" i="93"/>
  <c r="AS771" i="93"/>
  <c r="BQ771" i="93"/>
  <c r="BZ771" i="93"/>
  <c r="CL771" i="93"/>
  <c r="CY771" i="93"/>
  <c r="DF771" i="93"/>
  <c r="DR771" i="93"/>
  <c r="ED771" i="93"/>
  <c r="EP771" i="93"/>
  <c r="EZ771" i="93"/>
  <c r="FF771" i="93"/>
  <c r="FL771" i="93"/>
  <c r="FR771" i="93"/>
  <c r="FX771" i="93"/>
  <c r="GD771" i="93"/>
  <c r="GJ771" i="93"/>
  <c r="GP771" i="93"/>
  <c r="GV771" i="93"/>
  <c r="HB771" i="93"/>
  <c r="HH771" i="93"/>
  <c r="HN771" i="93"/>
  <c r="HT771" i="93"/>
  <c r="HZ771" i="93"/>
  <c r="IH771" i="93"/>
  <c r="IT771" i="93"/>
  <c r="JD771" i="93"/>
  <c r="JJ771" i="93"/>
  <c r="JP771" i="93"/>
  <c r="BW771" i="93"/>
  <c r="DM771" i="93"/>
  <c r="FC771" i="93"/>
  <c r="GG771" i="93"/>
  <c r="HE771" i="93"/>
  <c r="IC771" i="93"/>
  <c r="JA771" i="93"/>
  <c r="A771" i="93"/>
  <c r="AH771" i="93"/>
  <c r="AX771" i="93"/>
  <c r="BU771" i="93"/>
  <c r="CC771" i="93"/>
  <c r="CO771" i="93"/>
  <c r="CZ771" i="93"/>
  <c r="DI771" i="93"/>
  <c r="DU771" i="93"/>
  <c r="EG771" i="93"/>
  <c r="ES771" i="93"/>
  <c r="FA771" i="93"/>
  <c r="FG771" i="93"/>
  <c r="FM771" i="93"/>
  <c r="FS771" i="93"/>
  <c r="FY771" i="93"/>
  <c r="GE771" i="93"/>
  <c r="GK771" i="93"/>
  <c r="GQ771" i="93"/>
  <c r="GW771" i="93"/>
  <c r="HC771" i="93"/>
  <c r="HI771" i="93"/>
  <c r="HO771" i="93"/>
  <c r="HU771" i="93"/>
  <c r="IA771" i="93"/>
  <c r="IK771" i="93"/>
  <c r="IW771" i="93"/>
  <c r="JE771" i="93"/>
  <c r="JK771" i="93"/>
  <c r="BT769" i="93"/>
  <c r="BZ769" i="93"/>
  <c r="ET769" i="93"/>
  <c r="AJ769" i="93"/>
  <c r="CR769" i="93"/>
  <c r="DJ769" i="93"/>
  <c r="IO769" i="93"/>
  <c r="AM769" i="93"/>
  <c r="DY769" i="93"/>
  <c r="IR769" i="93"/>
  <c r="BB769" i="93"/>
  <c r="EB769" i="93"/>
  <c r="X769" i="93"/>
  <c r="AP769" i="93"/>
  <c r="BH769" i="93"/>
  <c r="CF769" i="93"/>
  <c r="DM769" i="93"/>
  <c r="EE769" i="93"/>
  <c r="IU769" i="93"/>
  <c r="AA769" i="93"/>
  <c r="AS769" i="93"/>
  <c r="BK769" i="93"/>
  <c r="CI769" i="93"/>
  <c r="DP769" i="93"/>
  <c r="EH769" i="93"/>
  <c r="IF769" i="93"/>
  <c r="IX769" i="93"/>
  <c r="AD769" i="93"/>
  <c r="AV769" i="93"/>
  <c r="BN769" i="93"/>
  <c r="CL769" i="93"/>
  <c r="DS769" i="93"/>
  <c r="EK769" i="93"/>
  <c r="II769" i="93"/>
  <c r="JA769" i="93"/>
  <c r="AG769" i="93"/>
  <c r="AY769" i="93"/>
  <c r="BQ769" i="93"/>
  <c r="CO769" i="93"/>
  <c r="DD769" i="93"/>
  <c r="DV769" i="93"/>
  <c r="EN769" i="93"/>
  <c r="IL769" i="93"/>
  <c r="Y769" i="93"/>
  <c r="AE769" i="93"/>
  <c r="AK769" i="93"/>
  <c r="AQ769" i="93"/>
  <c r="AW769" i="93"/>
  <c r="BC769" i="93"/>
  <c r="BI769" i="93"/>
  <c r="BO769" i="93"/>
  <c r="CA769" i="93"/>
  <c r="CG769" i="93"/>
  <c r="CM769" i="93"/>
  <c r="CS769" i="93"/>
  <c r="DE769" i="93"/>
  <c r="DK769" i="93"/>
  <c r="DQ769" i="93"/>
  <c r="DW769" i="93"/>
  <c r="EC769" i="93"/>
  <c r="EI769" i="93"/>
  <c r="EO769" i="93"/>
  <c r="EU769" i="93"/>
  <c r="IG769" i="93"/>
  <c r="IM769" i="93"/>
  <c r="IS769" i="93"/>
  <c r="IY769" i="93"/>
  <c r="Z769" i="93"/>
  <c r="AF769" i="93"/>
  <c r="AL769" i="93"/>
  <c r="AR769" i="93"/>
  <c r="AX769" i="93"/>
  <c r="BD769" i="93"/>
  <c r="BJ769" i="93"/>
  <c r="BP769" i="93"/>
  <c r="CB769" i="93"/>
  <c r="CH769" i="93"/>
  <c r="CN769" i="93"/>
  <c r="DF769" i="93"/>
  <c r="DL769" i="93"/>
  <c r="DR769" i="93"/>
  <c r="DX769" i="93"/>
  <c r="ED769" i="93"/>
  <c r="EJ769" i="93"/>
  <c r="EP769" i="93"/>
  <c r="EV769" i="93"/>
  <c r="IH769" i="93"/>
  <c r="IN769" i="93"/>
  <c r="IT769" i="93"/>
  <c r="IZ769" i="93"/>
  <c r="AB769" i="93"/>
  <c r="AH769" i="93"/>
  <c r="AN769" i="93"/>
  <c r="AT769" i="93"/>
  <c r="AZ769" i="93"/>
  <c r="BF769" i="93"/>
  <c r="BL769" i="93"/>
  <c r="BR769" i="93"/>
  <c r="CD769" i="93"/>
  <c r="CJ769" i="93"/>
  <c r="CP769" i="93"/>
  <c r="DH769" i="93"/>
  <c r="DN769" i="93"/>
  <c r="DT769" i="93"/>
  <c r="DZ769" i="93"/>
  <c r="EF769" i="93"/>
  <c r="EL769" i="93"/>
  <c r="ER769" i="93"/>
  <c r="ID769" i="93"/>
  <c r="IJ769" i="93"/>
  <c r="IP769" i="93"/>
  <c r="IV769" i="93"/>
  <c r="JB769" i="93"/>
  <c r="W769" i="93"/>
  <c r="AC769" i="93"/>
  <c r="AI769" i="93"/>
  <c r="AO769" i="93"/>
  <c r="AU769" i="93"/>
  <c r="BA769" i="93"/>
  <c r="BG769" i="93"/>
  <c r="BM769" i="93"/>
  <c r="BS769" i="93"/>
  <c r="CE769" i="93"/>
  <c r="CK769" i="93"/>
  <c r="CQ769" i="93"/>
  <c r="DI769" i="93"/>
  <c r="DO769" i="93"/>
  <c r="DU769" i="93"/>
  <c r="EA769" i="93"/>
  <c r="EG769" i="93"/>
  <c r="EM769" i="93"/>
  <c r="ES769" i="93"/>
  <c r="IE769" i="93"/>
  <c r="IK769" i="93"/>
  <c r="IQ769" i="93"/>
  <c r="K932" i="93"/>
  <c r="IZ771" i="93"/>
  <c r="DB770" i="93"/>
  <c r="HV770" i="93"/>
  <c r="BV768" i="93"/>
  <c r="EW768" i="93"/>
  <c r="FO768" i="93"/>
  <c r="GK768" i="93"/>
  <c r="HG768" i="93"/>
  <c r="IB768" i="93"/>
  <c r="BW768" i="93"/>
  <c r="EX768" i="93"/>
  <c r="FQ768" i="93"/>
  <c r="GL768" i="93"/>
  <c r="HH768" i="93"/>
  <c r="IC768" i="93"/>
  <c r="CU768" i="93"/>
  <c r="FC768" i="93"/>
  <c r="FW768" i="93"/>
  <c r="GR768" i="93"/>
  <c r="HN768" i="93"/>
  <c r="JF768" i="93"/>
  <c r="CV768" i="93"/>
  <c r="FD768" i="93"/>
  <c r="FX768" i="93"/>
  <c r="GS768" i="93"/>
  <c r="HO768" i="93"/>
  <c r="JH768" i="93"/>
  <c r="DA768" i="93"/>
  <c r="FI768" i="93"/>
  <c r="GD768" i="93"/>
  <c r="GY768" i="93"/>
  <c r="HU768" i="93"/>
  <c r="A1097" i="93"/>
  <c r="H1097" i="93" s="1"/>
  <c r="EU796" i="93"/>
  <c r="DS796" i="93"/>
  <c r="IZ784" i="93"/>
  <c r="ID784" i="93"/>
  <c r="EH784" i="93"/>
  <c r="CP784" i="93"/>
  <c r="BA784" i="93"/>
  <c r="DM784" i="93"/>
  <c r="AF784" i="93"/>
  <c r="ER772" i="93"/>
  <c r="EB772" i="93"/>
  <c r="CF772" i="93"/>
  <c r="BP772" i="93"/>
  <c r="DL772" i="93"/>
  <c r="AZ772" i="93"/>
  <c r="IZ772" i="93"/>
  <c r="AJ772" i="93"/>
  <c r="AB768" i="93"/>
  <c r="AH768" i="93"/>
  <c r="AN768" i="93"/>
  <c r="AT768" i="93"/>
  <c r="AZ768" i="93"/>
  <c r="AF768" i="93"/>
  <c r="AR768" i="93"/>
  <c r="AA768" i="93"/>
  <c r="AG768" i="93"/>
  <c r="W768" i="93"/>
  <c r="AC768" i="93"/>
  <c r="AI768" i="93"/>
  <c r="AO768" i="93"/>
  <c r="AU768" i="93"/>
  <c r="BA768" i="93"/>
  <c r="AL768" i="93"/>
  <c r="AY768" i="93"/>
  <c r="X768" i="93"/>
  <c r="AD768" i="93"/>
  <c r="AJ768" i="93"/>
  <c r="AP768" i="93"/>
  <c r="AV768" i="93"/>
  <c r="BB768" i="93"/>
  <c r="Z768" i="93"/>
  <c r="AX768" i="93"/>
  <c r="AM768" i="93"/>
  <c r="Y768" i="93"/>
  <c r="AE768" i="93"/>
  <c r="AK768" i="93"/>
  <c r="AQ768" i="93"/>
  <c r="AW768" i="93"/>
  <c r="AS768" i="93"/>
  <c r="JM768" i="93"/>
  <c r="JG768" i="93"/>
  <c r="IE768" i="93"/>
  <c r="HX768" i="93"/>
  <c r="HR768" i="93"/>
  <c r="HL768" i="93"/>
  <c r="HF768" i="93"/>
  <c r="GZ768" i="93"/>
  <c r="GT768" i="93"/>
  <c r="GN768" i="93"/>
  <c r="GH768" i="93"/>
  <c r="GB768" i="93"/>
  <c r="FV768" i="93"/>
  <c r="FP768" i="93"/>
  <c r="JN774" i="93"/>
  <c r="GQ774" i="93"/>
  <c r="EZ774" i="93"/>
  <c r="IB774" i="93"/>
  <c r="GL774" i="93"/>
  <c r="CM774" i="93"/>
  <c r="HR774" i="93"/>
  <c r="GA774" i="93"/>
  <c r="AQ774" i="93"/>
  <c r="HL774" i="93"/>
  <c r="FV774" i="93"/>
  <c r="HG774" i="93"/>
  <c r="FP774" i="93"/>
  <c r="JM780" i="93"/>
  <c r="JG780" i="93"/>
  <c r="IC780" i="93"/>
  <c r="HW780" i="93"/>
  <c r="HQ780" i="93"/>
  <c r="HK780" i="93"/>
  <c r="HE780" i="93"/>
  <c r="GY780" i="93"/>
  <c r="GS780" i="93"/>
  <c r="GM780" i="93"/>
  <c r="GG780" i="93"/>
  <c r="GA780" i="93"/>
  <c r="FU780" i="93"/>
  <c r="FO780" i="93"/>
  <c r="FI780" i="93"/>
  <c r="FC780" i="93"/>
  <c r="EW780" i="93"/>
  <c r="CZ780" i="93"/>
  <c r="CT780" i="93"/>
  <c r="BU780" i="93"/>
  <c r="JL780" i="93"/>
  <c r="JF780" i="93"/>
  <c r="IB780" i="93"/>
  <c r="HV780" i="93"/>
  <c r="HP780" i="93"/>
  <c r="HJ780" i="93"/>
  <c r="HD780" i="93"/>
  <c r="GX780" i="93"/>
  <c r="GR780" i="93"/>
  <c r="GL780" i="93"/>
  <c r="GF780" i="93"/>
  <c r="FZ780" i="93"/>
  <c r="FT780" i="93"/>
  <c r="FN780" i="93"/>
  <c r="FH780" i="93"/>
  <c r="FB780" i="93"/>
  <c r="EL780" i="93"/>
  <c r="CY780" i="93"/>
  <c r="CC780" i="93"/>
  <c r="BI780" i="93"/>
  <c r="JQ780" i="93"/>
  <c r="JK780" i="93"/>
  <c r="JE780" i="93"/>
  <c r="IA780" i="93"/>
  <c r="HU780" i="93"/>
  <c r="HO780" i="93"/>
  <c r="HI780" i="93"/>
  <c r="HC780" i="93"/>
  <c r="GW780" i="93"/>
  <c r="GQ780" i="93"/>
  <c r="GK780" i="93"/>
  <c r="GE780" i="93"/>
  <c r="FY780" i="93"/>
  <c r="FS780" i="93"/>
  <c r="FM780" i="93"/>
  <c r="FG780" i="93"/>
  <c r="FA780" i="93"/>
  <c r="DQ780" i="93"/>
  <c r="CX780" i="93"/>
  <c r="BY780" i="93"/>
  <c r="AM780" i="93"/>
  <c r="JP780" i="93"/>
  <c r="JJ780" i="93"/>
  <c r="JD780" i="93"/>
  <c r="HZ780" i="93"/>
  <c r="HT780" i="93"/>
  <c r="HN780" i="93"/>
  <c r="HH780" i="93"/>
  <c r="HB780" i="93"/>
  <c r="GV780" i="93"/>
  <c r="GP780" i="93"/>
  <c r="GJ780" i="93"/>
  <c r="GD780" i="93"/>
  <c r="FX780" i="93"/>
  <c r="FR780" i="93"/>
  <c r="FL780" i="93"/>
  <c r="FF780" i="93"/>
  <c r="EZ780" i="93"/>
  <c r="DC780" i="93"/>
  <c r="CW780" i="93"/>
  <c r="BX780" i="93"/>
  <c r="JO780" i="93"/>
  <c r="JI780" i="93"/>
  <c r="JC780" i="93"/>
  <c r="HY780" i="93"/>
  <c r="HS780" i="93"/>
  <c r="HM780" i="93"/>
  <c r="HG780" i="93"/>
  <c r="HA780" i="93"/>
  <c r="GU780" i="93"/>
  <c r="GO780" i="93"/>
  <c r="GI780" i="93"/>
  <c r="GC780" i="93"/>
  <c r="FW780" i="93"/>
  <c r="FQ780" i="93"/>
  <c r="FK780" i="93"/>
  <c r="FE780" i="93"/>
  <c r="EY780" i="93"/>
  <c r="DB780" i="93"/>
  <c r="CV780" i="93"/>
  <c r="BW780" i="93"/>
  <c r="HY786" i="93"/>
  <c r="GS786" i="93"/>
  <c r="FB786" i="93"/>
  <c r="AP786" i="93"/>
  <c r="JP792" i="93"/>
  <c r="JJ792" i="93"/>
  <c r="JD792" i="93"/>
  <c r="HZ792" i="93"/>
  <c r="HT792" i="93"/>
  <c r="HN792" i="93"/>
  <c r="HH792" i="93"/>
  <c r="HB792" i="93"/>
  <c r="GV792" i="93"/>
  <c r="GP792" i="93"/>
  <c r="GJ792" i="93"/>
  <c r="GD792" i="93"/>
  <c r="FX792" i="93"/>
  <c r="FR792" i="93"/>
  <c r="FL792" i="93"/>
  <c r="FF792" i="93"/>
  <c r="EZ792" i="93"/>
  <c r="DB792" i="93"/>
  <c r="CV792" i="93"/>
  <c r="BV792" i="93"/>
  <c r="JO792" i="93"/>
  <c r="JI792" i="93"/>
  <c r="JC792" i="93"/>
  <c r="HY792" i="93"/>
  <c r="HS792" i="93"/>
  <c r="HM792" i="93"/>
  <c r="HG792" i="93"/>
  <c r="HA792" i="93"/>
  <c r="GU792" i="93"/>
  <c r="GO792" i="93"/>
  <c r="GI792" i="93"/>
  <c r="GC792" i="93"/>
  <c r="FW792" i="93"/>
  <c r="FQ792" i="93"/>
  <c r="FK792" i="93"/>
  <c r="FE792" i="93"/>
  <c r="EY792" i="93"/>
  <c r="DA792" i="93"/>
  <c r="CT792" i="93"/>
  <c r="BU792" i="93"/>
  <c r="JN792" i="93"/>
  <c r="JH792" i="93"/>
  <c r="ID792" i="93"/>
  <c r="HX792" i="93"/>
  <c r="HR792" i="93"/>
  <c r="HL792" i="93"/>
  <c r="HF792" i="93"/>
  <c r="GZ792" i="93"/>
  <c r="GT792" i="93"/>
  <c r="GN792" i="93"/>
  <c r="GH792" i="93"/>
  <c r="GB792" i="93"/>
  <c r="FV792" i="93"/>
  <c r="FP792" i="93"/>
  <c r="FJ792" i="93"/>
  <c r="FD792" i="93"/>
  <c r="EX792" i="93"/>
  <c r="CZ792" i="93"/>
  <c r="CA792" i="93"/>
  <c r="AB792" i="93"/>
  <c r="JM792" i="93"/>
  <c r="JG792" i="93"/>
  <c r="IC792" i="93"/>
  <c r="HW792" i="93"/>
  <c r="HQ792" i="93"/>
  <c r="HK792" i="93"/>
  <c r="HE792" i="93"/>
  <c r="GY792" i="93"/>
  <c r="GS792" i="93"/>
  <c r="GM792" i="93"/>
  <c r="GG792" i="93"/>
  <c r="GA792" i="93"/>
  <c r="FU792" i="93"/>
  <c r="FO792" i="93"/>
  <c r="FI792" i="93"/>
  <c r="FC792" i="93"/>
  <c r="EW792" i="93"/>
  <c r="CY792" i="93"/>
  <c r="BY792" i="93"/>
  <c r="JL792" i="93"/>
  <c r="JF792" i="93"/>
  <c r="IB792" i="93"/>
  <c r="HV792" i="93"/>
  <c r="HP792" i="93"/>
  <c r="HJ792" i="93"/>
  <c r="HD792" i="93"/>
  <c r="GX792" i="93"/>
  <c r="GR792" i="93"/>
  <c r="GL792" i="93"/>
  <c r="GF792" i="93"/>
  <c r="FZ792" i="93"/>
  <c r="FT792" i="93"/>
  <c r="FN792" i="93"/>
  <c r="FH792" i="93"/>
  <c r="FB792" i="93"/>
  <c r="EE792" i="93"/>
  <c r="CX792" i="93"/>
  <c r="BX792" i="93"/>
  <c r="JN804" i="93"/>
  <c r="IC804" i="93"/>
  <c r="HQ804" i="93"/>
  <c r="HE804" i="93"/>
  <c r="GS804" i="93"/>
  <c r="GG804" i="93"/>
  <c r="FU804" i="93"/>
  <c r="FI804" i="93"/>
  <c r="EW804" i="93"/>
  <c r="CY804" i="93"/>
  <c r="BX804" i="93"/>
  <c r="JM804" i="93"/>
  <c r="HY804" i="93"/>
  <c r="HL804" i="93"/>
  <c r="GW804" i="93"/>
  <c r="GJ804" i="93"/>
  <c r="FT804" i="93"/>
  <c r="FE804" i="93"/>
  <c r="DB804" i="93"/>
  <c r="CT804" i="93"/>
  <c r="JJ804" i="93"/>
  <c r="HX804" i="93"/>
  <c r="HI804" i="93"/>
  <c r="GV804" i="93"/>
  <c r="GF804" i="93"/>
  <c r="FQ804" i="93"/>
  <c r="FD804" i="93"/>
  <c r="DA804" i="93"/>
  <c r="BY804" i="93"/>
  <c r="JI804" i="93"/>
  <c r="HU804" i="93"/>
  <c r="HH804" i="93"/>
  <c r="GR804" i="93"/>
  <c r="GC804" i="93"/>
  <c r="FP804" i="93"/>
  <c r="FA804" i="93"/>
  <c r="CZ804" i="93"/>
  <c r="BW804" i="93"/>
  <c r="JF804" i="93"/>
  <c r="HT804" i="93"/>
  <c r="HD804" i="93"/>
  <c r="GO804" i="93"/>
  <c r="GB804" i="93"/>
  <c r="FM804" i="93"/>
  <c r="EZ804" i="93"/>
  <c r="CX804" i="93"/>
  <c r="BV804" i="93"/>
  <c r="JE804" i="93"/>
  <c r="HP804" i="93"/>
  <c r="HA804" i="93"/>
  <c r="GN804" i="93"/>
  <c r="FY804" i="93"/>
  <c r="FL804" i="93"/>
  <c r="EI804" i="93"/>
  <c r="CV804" i="93"/>
  <c r="BU804" i="93"/>
  <c r="JH770" i="93"/>
  <c r="JM770" i="93"/>
  <c r="JL776" i="93"/>
  <c r="JF776" i="93"/>
  <c r="JQ776" i="93"/>
  <c r="JK776" i="93"/>
  <c r="JE776" i="93"/>
  <c r="JP776" i="93"/>
  <c r="JJ776" i="93"/>
  <c r="JD776" i="93"/>
  <c r="JO776" i="93"/>
  <c r="JI776" i="93"/>
  <c r="JC776" i="93"/>
  <c r="JN776" i="93"/>
  <c r="JH776" i="93"/>
  <c r="JQ788" i="93"/>
  <c r="JK788" i="93"/>
  <c r="JE788" i="93"/>
  <c r="JP788" i="93"/>
  <c r="JJ788" i="93"/>
  <c r="JD788" i="93"/>
  <c r="JO788" i="93"/>
  <c r="JI788" i="93"/>
  <c r="JC788" i="93"/>
  <c r="JN788" i="93"/>
  <c r="JH788" i="93"/>
  <c r="JM788" i="93"/>
  <c r="JG788" i="93"/>
  <c r="JM800" i="93"/>
  <c r="JE800" i="93"/>
  <c r="JK800" i="93"/>
  <c r="JC800" i="93"/>
  <c r="JJ800" i="93"/>
  <c r="JQ800" i="93"/>
  <c r="JI800" i="93"/>
  <c r="JO800" i="93"/>
  <c r="JG800" i="93"/>
  <c r="BX768" i="93"/>
  <c r="CW768" i="93"/>
  <c r="DC768" i="93"/>
  <c r="EY768" i="93"/>
  <c r="FE768" i="93"/>
  <c r="FK768" i="93"/>
  <c r="FR768" i="93"/>
  <c r="FY768" i="93"/>
  <c r="GF768" i="93"/>
  <c r="GM768" i="93"/>
  <c r="GU768" i="93"/>
  <c r="HB768" i="93"/>
  <c r="HI768" i="93"/>
  <c r="HP768" i="93"/>
  <c r="HW768" i="93"/>
  <c r="IU768" i="93"/>
  <c r="JI768" i="93"/>
  <c r="JP768" i="93"/>
  <c r="GV774" i="93"/>
  <c r="DA780" i="93"/>
  <c r="GB780" i="93"/>
  <c r="HL780" i="93"/>
  <c r="BW792" i="93"/>
  <c r="FS792" i="93"/>
  <c r="HC792" i="93"/>
  <c r="JK792" i="93"/>
  <c r="GK804" i="93"/>
  <c r="BY768" i="93"/>
  <c r="FL768" i="93"/>
  <c r="GV768" i="93"/>
  <c r="HQ768" i="93"/>
  <c r="JC768" i="93"/>
  <c r="JJ768" i="93"/>
  <c r="JQ768" i="93"/>
  <c r="EX780" i="93"/>
  <c r="GH780" i="93"/>
  <c r="HR780" i="93"/>
  <c r="CW792" i="93"/>
  <c r="FY792" i="93"/>
  <c r="HI792" i="93"/>
  <c r="JQ792" i="93"/>
  <c r="BT804" i="93"/>
  <c r="GZ804" i="93"/>
  <c r="CX768" i="93"/>
  <c r="EZ768" i="93"/>
  <c r="FS768" i="93"/>
  <c r="GG768" i="93"/>
  <c r="HJ768" i="93"/>
  <c r="CY768" i="93"/>
  <c r="FA768" i="93"/>
  <c r="FM768" i="93"/>
  <c r="GA768" i="93"/>
  <c r="GP768" i="93"/>
  <c r="HD768" i="93"/>
  <c r="HS768" i="93"/>
  <c r="HZ768" i="93"/>
  <c r="JK768" i="93"/>
  <c r="JG776" i="93"/>
  <c r="FD780" i="93"/>
  <c r="GN780" i="93"/>
  <c r="HX780" i="93"/>
  <c r="JF788" i="93"/>
  <c r="DC792" i="93"/>
  <c r="GE792" i="93"/>
  <c r="HO792" i="93"/>
  <c r="CU804" i="93"/>
  <c r="HM804" i="93"/>
  <c r="DG768" i="93"/>
  <c r="FF768" i="93"/>
  <c r="FZ768" i="93"/>
  <c r="GO768" i="93"/>
  <c r="HC768" i="93"/>
  <c r="HY768" i="93"/>
  <c r="BG768" i="93"/>
  <c r="CM768" i="93"/>
  <c r="DW768" i="93"/>
  <c r="FG768" i="93"/>
  <c r="FT768" i="93"/>
  <c r="GI768" i="93"/>
  <c r="GW768" i="93"/>
  <c r="HK768" i="93"/>
  <c r="JD768" i="93"/>
  <c r="BU768" i="93"/>
  <c r="CT768" i="93"/>
  <c r="CZ768" i="93"/>
  <c r="EM768" i="93"/>
  <c r="FB768" i="93"/>
  <c r="FH768" i="93"/>
  <c r="FN768" i="93"/>
  <c r="FU768" i="93"/>
  <c r="GC768" i="93"/>
  <c r="GJ768" i="93"/>
  <c r="GQ768" i="93"/>
  <c r="GX768" i="93"/>
  <c r="HE768" i="93"/>
  <c r="HM768" i="93"/>
  <c r="HT768" i="93"/>
  <c r="IA768" i="93"/>
  <c r="JE768" i="93"/>
  <c r="JL768" i="93"/>
  <c r="JM776" i="93"/>
  <c r="FJ780" i="93"/>
  <c r="GT780" i="93"/>
  <c r="IM780" i="93"/>
  <c r="JL788" i="93"/>
  <c r="FA792" i="93"/>
  <c r="GK792" i="93"/>
  <c r="HU792" i="93"/>
  <c r="IU796" i="93"/>
  <c r="DC804" i="93"/>
  <c r="IB804" i="93"/>
  <c r="IJ772" i="93"/>
  <c r="BV780" i="93"/>
  <c r="FP780" i="93"/>
  <c r="GZ780" i="93"/>
  <c r="JH780" i="93"/>
  <c r="FG792" i="93"/>
  <c r="GQ792" i="93"/>
  <c r="IA792" i="93"/>
  <c r="JF800" i="93"/>
  <c r="FH804" i="93"/>
  <c r="JQ804" i="93"/>
  <c r="CX771" i="93"/>
  <c r="CW783" i="93"/>
  <c r="CX795" i="93"/>
  <c r="HG803" i="93"/>
  <c r="GI803" i="93"/>
  <c r="FK803" i="93"/>
  <c r="EX803" i="93"/>
  <c r="O889" i="93"/>
  <c r="O903" i="93"/>
  <c r="M907" i="93"/>
  <c r="I916" i="93"/>
  <c r="K942" i="93"/>
  <c r="JP804" i="93"/>
  <c r="IP790" i="93"/>
  <c r="JQ803" i="93"/>
  <c r="JH803" i="93"/>
  <c r="EF802" i="93"/>
  <c r="JI774" i="93"/>
  <c r="CU775" i="93"/>
  <c r="CV787" i="93"/>
  <c r="CX799" i="93"/>
  <c r="HL801" i="93"/>
  <c r="O839" i="93"/>
  <c r="J885" i="93"/>
  <c r="K923" i="93"/>
  <c r="Z767" i="93"/>
  <c r="AF767" i="93"/>
  <c r="AL767" i="93"/>
  <c r="AR767" i="93"/>
  <c r="AX767" i="93"/>
  <c r="X767" i="93"/>
  <c r="AJ767" i="93"/>
  <c r="AK767" i="93"/>
  <c r="AA767" i="93"/>
  <c r="AG767" i="93"/>
  <c r="AM767" i="93"/>
  <c r="AS767" i="93"/>
  <c r="AY767" i="93"/>
  <c r="AD767" i="93"/>
  <c r="BB767" i="93"/>
  <c r="AE767" i="93"/>
  <c r="AB767" i="93"/>
  <c r="AH767" i="93"/>
  <c r="AN767" i="93"/>
  <c r="AT767" i="93"/>
  <c r="AZ767" i="93"/>
  <c r="AP767" i="93"/>
  <c r="Y767" i="93"/>
  <c r="AW767" i="93"/>
  <c r="W767" i="93"/>
  <c r="AC767" i="93"/>
  <c r="AI767" i="93"/>
  <c r="AO767" i="93"/>
  <c r="AU767" i="93"/>
  <c r="BA767" i="93"/>
  <c r="AV767" i="93"/>
  <c r="AQ767" i="93"/>
  <c r="CV788" i="93"/>
  <c r="CW800" i="93"/>
  <c r="CY774" i="93"/>
  <c r="IM786" i="93"/>
  <c r="DQ770" i="93"/>
  <c r="DL782" i="93"/>
  <c r="HW774" i="93"/>
  <c r="H889" i="93"/>
  <c r="N889" i="93"/>
  <c r="H894" i="93"/>
  <c r="J898" i="93"/>
  <c r="L898" i="93"/>
  <c r="H903" i="93"/>
  <c r="L907" i="93"/>
  <c r="N907" i="93"/>
  <c r="CU767" i="93"/>
  <c r="CU779" i="93"/>
  <c r="CX791" i="93"/>
  <c r="CU803" i="93"/>
  <c r="O838" i="93"/>
  <c r="K889" i="93"/>
  <c r="I898" i="93"/>
  <c r="K903" i="93"/>
  <c r="I907" i="93"/>
  <c r="F925" i="93"/>
  <c r="P924" i="93"/>
  <c r="CU792" i="93"/>
  <c r="CW804" i="93"/>
  <c r="DR778" i="93"/>
  <c r="EH790" i="93"/>
  <c r="JP800" i="93"/>
  <c r="ES774" i="93"/>
  <c r="HP778" i="93"/>
  <c r="FP802" i="93"/>
  <c r="G885" i="93"/>
  <c r="L889" i="93"/>
  <c r="N898" i="93"/>
  <c r="L903" i="93"/>
  <c r="P907" i="93"/>
  <c r="F934" i="93"/>
  <c r="C971"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M459" i="93" s="1"/>
  <c r="F450" i="93"/>
  <c r="E450" i="93"/>
  <c r="D450" i="93"/>
  <c r="C450" i="93"/>
  <c r="U450" i="93" s="1"/>
  <c r="H455" i="93"/>
  <c r="G455" i="93"/>
  <c r="H444" i="93"/>
  <c r="G444" i="93"/>
  <c r="E517" i="93"/>
  <c r="J602" i="93"/>
  <c r="W597" i="93"/>
  <c r="W584" i="93"/>
  <c r="V582" i="93"/>
  <c r="W574" i="93"/>
  <c r="W573" i="93"/>
  <c r="V566" i="93"/>
  <c r="M566" i="93"/>
  <c r="A565" i="93"/>
  <c r="W563" i="93"/>
  <c r="O563" i="93"/>
  <c r="V562" i="93"/>
  <c r="J562" i="93"/>
  <c r="U561"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M513" i="93" l="1"/>
  <c r="J746" i="93"/>
  <c r="M474" i="93"/>
  <c r="U512" i="93"/>
  <c r="M453" i="93"/>
  <c r="P453" i="93"/>
  <c r="S463" i="93"/>
  <c r="P519" i="93"/>
  <c r="P554" i="93"/>
  <c r="G474" i="93"/>
  <c r="J815" i="93"/>
  <c r="S453" i="93"/>
  <c r="S469" i="93"/>
  <c r="S513" i="93"/>
  <c r="M863" i="93"/>
  <c r="N868" i="93"/>
  <c r="M868" i="93"/>
  <c r="O847" i="93"/>
  <c r="K863" i="93"/>
  <c r="O943" i="93"/>
  <c r="J861" i="93"/>
  <c r="L867" i="93"/>
  <c r="J867" i="93"/>
  <c r="M864" i="93"/>
  <c r="N861" i="93"/>
  <c r="J868" i="93"/>
  <c r="K861" i="93"/>
  <c r="O846" i="93"/>
  <c r="N864" i="93"/>
  <c r="L864" i="93"/>
  <c r="M867" i="93"/>
  <c r="J862" i="93"/>
  <c r="K862" i="93"/>
  <c r="N863" i="93"/>
  <c r="O941" i="93"/>
  <c r="L868" i="93"/>
  <c r="O850" i="93"/>
  <c r="K867" i="93"/>
  <c r="O814" i="93"/>
  <c r="J834" i="93"/>
  <c r="M815" i="93"/>
  <c r="M817" i="93" s="1"/>
  <c r="M819" i="93" s="1"/>
  <c r="J872" i="93"/>
  <c r="J874" i="93" s="1"/>
  <c r="M872" i="93"/>
  <c r="K823" i="93"/>
  <c r="S562" i="93"/>
  <c r="S500" i="93"/>
  <c r="J500" i="93"/>
  <c r="S459" i="93"/>
  <c r="J453" i="93"/>
  <c r="G453" i="93"/>
  <c r="L393" i="93"/>
  <c r="J513" i="93"/>
  <c r="S519" i="93"/>
  <c r="A512" i="93"/>
  <c r="G463" i="93"/>
  <c r="U451" i="93"/>
  <c r="J469" i="93"/>
  <c r="P474" i="93"/>
  <c r="G500" i="93"/>
  <c r="A546" i="93"/>
  <c r="G554" i="93"/>
  <c r="M562" i="93"/>
  <c r="J566" i="93"/>
  <c r="S566" i="93"/>
  <c r="J582" i="93"/>
  <c r="J586" i="93" s="1"/>
  <c r="M746" i="93"/>
  <c r="O833" i="93"/>
  <c r="N815" i="93"/>
  <c r="N817" i="93" s="1"/>
  <c r="N819" i="93" s="1"/>
  <c r="M469" i="93"/>
  <c r="L746" i="93"/>
  <c r="J827" i="93"/>
  <c r="O855" i="93"/>
  <c r="V568" i="93"/>
  <c r="J463" i="93"/>
  <c r="P469" i="93"/>
  <c r="P513" i="93"/>
  <c r="P568" i="93" s="1"/>
  <c r="P585" i="93" s="1"/>
  <c r="P587" i="93" s="1"/>
  <c r="P589" i="93" s="1"/>
  <c r="P562" i="93"/>
  <c r="P582" i="93"/>
  <c r="P586" i="93" s="1"/>
  <c r="I730" i="93"/>
  <c r="K730" i="93"/>
  <c r="M730" i="93"/>
  <c r="M843" i="93"/>
  <c r="O858" i="93"/>
  <c r="O813" i="93"/>
  <c r="A450" i="93"/>
  <c r="M500" i="93"/>
  <c r="P500" i="93"/>
  <c r="G513" i="93"/>
  <c r="J519" i="93"/>
  <c r="S527" i="93"/>
  <c r="S547" i="93"/>
  <c r="G566" i="93"/>
  <c r="P566" i="93"/>
  <c r="I746" i="93"/>
  <c r="K746" i="93"/>
  <c r="O816" i="93"/>
  <c r="M874" i="93"/>
  <c r="M876" i="93" s="1"/>
  <c r="N827" i="93"/>
  <c r="N867" i="93"/>
  <c r="O942" i="93"/>
  <c r="G541" i="93"/>
  <c r="O844" i="93"/>
  <c r="N862" i="93"/>
  <c r="U452" i="93"/>
  <c r="J474" i="93"/>
  <c r="S474" i="93"/>
  <c r="U526" i="93"/>
  <c r="M519" i="93"/>
  <c r="S541" i="93"/>
  <c r="G547" i="93"/>
  <c r="J730" i="93"/>
  <c r="L730"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D976" i="93"/>
  <c r="D992" i="93" s="1"/>
  <c r="M568" i="93"/>
  <c r="M585" i="93" s="1"/>
  <c r="M587" i="93" s="1"/>
  <c r="M589" i="93" s="1"/>
  <c r="O864" i="93"/>
  <c r="O868" i="93"/>
  <c r="O867" i="93"/>
  <c r="O862" i="93"/>
  <c r="O823" i="93"/>
  <c r="S568" i="93"/>
  <c r="J568" i="93"/>
  <c r="J585" i="93" s="1"/>
  <c r="J587" i="93" s="1"/>
  <c r="J589" i="93" s="1"/>
  <c r="E471" i="93"/>
  <c r="B480" i="93"/>
  <c r="O841" i="93"/>
  <c r="P944" i="93" s="1"/>
  <c r="P945" i="93" s="1"/>
  <c r="O843" i="93"/>
  <c r="E472" i="93"/>
  <c r="E474" i="93" s="1"/>
  <c r="G470" i="93" s="1"/>
  <c r="O863" i="93"/>
  <c r="E972" i="93"/>
  <c r="F971" i="93"/>
  <c r="G969" i="93"/>
  <c r="F977" i="93"/>
  <c r="F975" i="93"/>
  <c r="F970" i="93"/>
  <c r="O861" i="93"/>
  <c r="O837" i="93"/>
  <c r="O831" i="93"/>
  <c r="O815" i="93"/>
  <c r="O834" i="93"/>
  <c r="O819" i="93"/>
  <c r="J939"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O945" i="93"/>
  <c r="O944" i="93"/>
  <c r="J938" i="93"/>
  <c r="H83" i="93"/>
  <c r="J937" i="93"/>
  <c r="F472" i="93"/>
  <c r="F471" i="93"/>
  <c r="F470" i="93" s="1"/>
  <c r="F473" i="93"/>
  <c r="F553" i="93"/>
  <c r="F551" i="93"/>
  <c r="F549" i="93"/>
  <c r="F552" i="93"/>
  <c r="G970" i="93"/>
  <c r="H969" i="93"/>
  <c r="G971" i="93"/>
  <c r="G977" i="93"/>
  <c r="G975" i="93"/>
  <c r="F972" i="93"/>
  <c r="P182" i="93"/>
  <c r="L49" i="93"/>
  <c r="A206" i="85"/>
  <c r="A10" i="83"/>
  <c r="I9" i="92"/>
  <c r="G11" i="91"/>
  <c r="G976" i="93" l="1"/>
  <c r="G992" i="93" s="1"/>
  <c r="E978" i="93"/>
  <c r="F976" i="93"/>
  <c r="F992" i="93" s="1"/>
  <c r="H977" i="93"/>
  <c r="H975" i="93"/>
  <c r="H971" i="93"/>
  <c r="I969" i="93"/>
  <c r="H970" i="93"/>
  <c r="G972" i="93"/>
  <c r="F197" i="90"/>
  <c r="D101" i="90"/>
  <c r="E163" i="90"/>
  <c r="C16" i="90"/>
  <c r="A206" i="90"/>
  <c r="A200" i="90"/>
  <c r="C5" i="90"/>
  <c r="C8" i="84"/>
  <c r="E8" i="84"/>
  <c r="H2" i="91" s="1"/>
  <c r="F978" i="93" l="1"/>
  <c r="G978" i="93"/>
  <c r="H976" i="93"/>
  <c r="H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H978" i="93"/>
  <c r="C21" i="90"/>
  <c r="I972" i="93"/>
  <c r="J977" i="93"/>
  <c r="J975" i="93"/>
  <c r="J970" i="93"/>
  <c r="J971" i="93"/>
  <c r="K969" i="93"/>
  <c r="K7" i="88"/>
  <c r="I978" i="93" l="1"/>
  <c r="B999" i="93"/>
  <c r="K970" i="93"/>
  <c r="K977" i="93"/>
  <c r="K975" i="93"/>
  <c r="K971" i="93"/>
  <c r="J972" i="93"/>
  <c r="A2" i="88"/>
  <c r="J976" i="93" l="1"/>
  <c r="J992" i="93" s="1"/>
  <c r="K972" i="93"/>
  <c r="B1007" i="93"/>
  <c r="B1005" i="93"/>
  <c r="B1001" i="93"/>
  <c r="C999" i="93"/>
  <c r="B1000" i="93"/>
  <c r="B1" i="87"/>
  <c r="D54" i="86"/>
  <c r="E54" i="86"/>
  <c r="F54" i="86"/>
  <c r="G54" i="86"/>
  <c r="H54" i="86"/>
  <c r="K976" i="93" l="1"/>
  <c r="K992" i="93" s="1"/>
  <c r="B1006" i="93"/>
  <c r="B1022" i="93" s="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l="1"/>
  <c r="C1008" i="93"/>
  <c r="D1006" i="93"/>
  <c r="D1022" i="93" s="1"/>
  <c r="D1002" i="93"/>
  <c r="E1007" i="93"/>
  <c r="E1005" i="93"/>
  <c r="E1001" i="93"/>
  <c r="F999" i="93"/>
  <c r="E1000" i="93"/>
  <c r="H1" i="91"/>
  <c r="C28" i="90"/>
  <c r="G5" i="92" s="1"/>
  <c r="E28" i="89"/>
  <c r="E15" i="89"/>
  <c r="A1" i="89"/>
  <c r="O6" i="86"/>
  <c r="F13" i="85"/>
  <c r="F12" i="85"/>
  <c r="A2" i="83"/>
  <c r="P1840" i="93"/>
  <c r="O1840" i="93"/>
  <c r="D1008" i="93" l="1"/>
  <c r="E1006" i="93"/>
  <c r="E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5" i="83"/>
  <c r="F15" i="85"/>
  <c r="K36" i="88"/>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H1006" i="93" l="1"/>
  <c r="H1022" i="93" s="1"/>
  <c r="G1008" i="93"/>
  <c r="F1008" i="93"/>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F84" i="92"/>
  <c r="C34" i="84"/>
  <c r="C29" i="84"/>
  <c r="I1006" i="93" l="1"/>
  <c r="I1022" i="93" s="1"/>
  <c r="K26" i="84"/>
  <c r="K33" i="84"/>
  <c r="K1007" i="93"/>
  <c r="B1029" i="93"/>
  <c r="K1000" i="93"/>
  <c r="K1005" i="93"/>
  <c r="K1001" i="93"/>
  <c r="J1002" i="93"/>
  <c r="K29" i="84"/>
  <c r="A47" i="84"/>
  <c r="C36" i="84"/>
  <c r="J1008" i="93" l="1"/>
  <c r="J1006" i="93"/>
  <c r="J1022" i="93" s="1"/>
  <c r="K1006" i="93"/>
  <c r="K1022" i="93" s="1"/>
  <c r="I1008" i="93"/>
  <c r="K37" i="84"/>
  <c r="K35" i="84"/>
  <c r="K1002" i="93"/>
  <c r="K1008" i="93" s="1"/>
  <c r="C1029" i="93"/>
  <c r="B1030" i="93"/>
  <c r="B1035" i="93"/>
  <c r="B1037" i="93"/>
  <c r="B1031" i="93"/>
  <c r="B1036" i="93" l="1"/>
  <c r="B1051" i="93" s="1"/>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D1036" i="93" s="1"/>
  <c r="E1030" i="93"/>
  <c r="E1037" i="93"/>
  <c r="E1035" i="93"/>
  <c r="E1031" i="93"/>
  <c r="F1029" i="93"/>
  <c r="E48" i="82"/>
  <c r="F48" i="82" s="1"/>
  <c r="D1051" i="93" l="1"/>
  <c r="D1038" i="93"/>
  <c r="C1038" i="93"/>
  <c r="E1036" i="93"/>
  <c r="E1051" i="93" s="1"/>
  <c r="G1029" i="93"/>
  <c r="F1030" i="93"/>
  <c r="F1031" i="93"/>
  <c r="F1037" i="93"/>
  <c r="F1035" i="93"/>
  <c r="E1032" i="93"/>
  <c r="G48" i="82"/>
  <c r="E1038" i="93" l="1"/>
  <c r="F1032" i="93"/>
  <c r="G1037" i="93"/>
  <c r="G1035" i="93"/>
  <c r="G1031" i="93"/>
  <c r="H1029" i="93"/>
  <c r="G1030" i="93"/>
  <c r="H48" i="82"/>
  <c r="F1036" i="93" l="1"/>
  <c r="F1051" i="93" s="1"/>
  <c r="G1032" i="93"/>
  <c r="G1036" i="93" s="1"/>
  <c r="H1037" i="93"/>
  <c r="H1035" i="93"/>
  <c r="H1031" i="93"/>
  <c r="H1030" i="93"/>
  <c r="I1029" i="93"/>
  <c r="I48" i="82"/>
  <c r="G1051" i="93" l="1"/>
  <c r="G1038" i="93"/>
  <c r="F1038" i="93"/>
  <c r="H1036" i="93"/>
  <c r="H1051" i="93" s="1"/>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J1036" i="93" l="1"/>
  <c r="J1051" i="93" s="1"/>
  <c r="K1036" i="93"/>
  <c r="K1051" i="93" s="1"/>
  <c r="I1038" i="93"/>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D1079" i="93" s="1"/>
  <c r="F68" i="82"/>
  <c r="D1066" i="93" l="1"/>
  <c r="C1066" i="93"/>
  <c r="E1064" i="93"/>
  <c r="E1079" i="93" s="1"/>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72" i="93"/>
  <c r="K772" i="93" s="1"/>
  <c r="L772" i="93" s="1"/>
  <c r="I771" i="93"/>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3" i="75" l="1"/>
  <c r="I11" i="75"/>
  <c r="I12" i="75"/>
  <c r="I10" i="75"/>
  <c r="C58" i="84"/>
  <c r="C62" i="84" s="1"/>
  <c r="F112" i="74"/>
  <c r="F1068" i="93" s="1"/>
  <c r="F1075" i="93" s="1"/>
  <c r="N401" i="93"/>
  <c r="Q770" i="93"/>
  <c r="C994" i="93"/>
  <c r="E11" i="86"/>
  <c r="I994" i="93"/>
  <c r="D31" i="86"/>
  <c r="E995" i="93"/>
  <c r="G12" i="86"/>
  <c r="K995" i="93"/>
  <c r="F32" i="86"/>
  <c r="E1024" i="93"/>
  <c r="C51" i="86"/>
  <c r="G1025" i="93"/>
  <c r="E52" i="86"/>
  <c r="C111" i="74"/>
  <c r="N400" i="93"/>
  <c r="Q769" i="93"/>
  <c r="B53" i="82"/>
  <c r="B984" i="93"/>
  <c r="D994" i="93"/>
  <c r="F11" i="86"/>
  <c r="J994" i="93"/>
  <c r="E31" i="86"/>
  <c r="F995" i="93"/>
  <c r="H12" i="86"/>
  <c r="F1024" i="93"/>
  <c r="D51" i="86"/>
  <c r="B1025" i="93"/>
  <c r="G32" i="86"/>
  <c r="H1025" i="93"/>
  <c r="F52" i="86"/>
  <c r="K25" i="74"/>
  <c r="K981" i="93" s="1"/>
  <c r="N402" i="93"/>
  <c r="D114" i="74"/>
  <c r="D1070" i="93" s="1"/>
  <c r="N403" i="93"/>
  <c r="L31" i="68"/>
  <c r="L394" i="93" s="1"/>
  <c r="L395" i="93" s="1"/>
  <c r="F115" i="78"/>
  <c r="C133" i="90"/>
  <c r="L59" i="85" s="1"/>
  <c r="O1974" i="93"/>
  <c r="P66" i="93"/>
  <c r="I60" i="84"/>
  <c r="G60" i="84"/>
  <c r="K60" i="84"/>
  <c r="E60" i="84"/>
  <c r="E994" i="93"/>
  <c r="G11" i="86"/>
  <c r="K994" i="93"/>
  <c r="F31" i="86"/>
  <c r="G995" i="93"/>
  <c r="I12" i="86"/>
  <c r="G1024" i="93"/>
  <c r="E51" i="86"/>
  <c r="C1025" i="93"/>
  <c r="H32" i="86"/>
  <c r="I1025" i="93"/>
  <c r="G52" i="86"/>
  <c r="G55" i="84"/>
  <c r="I55" i="84"/>
  <c r="E55" i="84"/>
  <c r="K55" i="84"/>
  <c r="I59" i="84"/>
  <c r="G59" i="84"/>
  <c r="K59" i="84"/>
  <c r="E59" i="84"/>
  <c r="I26" i="74"/>
  <c r="I982" i="93" s="1"/>
  <c r="I990" i="93" s="1"/>
  <c r="F994" i="93"/>
  <c r="H11" i="86"/>
  <c r="B995" i="93"/>
  <c r="C12" i="86"/>
  <c r="D12" i="86"/>
  <c r="H995" i="93"/>
  <c r="C32" i="86"/>
  <c r="B1024" i="93"/>
  <c r="G31" i="86"/>
  <c r="H1024" i="93"/>
  <c r="F51" i="86"/>
  <c r="D1025" i="93"/>
  <c r="I32" i="86"/>
  <c r="J1025" i="93"/>
  <c r="H52" i="86"/>
  <c r="I83" i="74"/>
  <c r="E61" i="84"/>
  <c r="K61" i="84"/>
  <c r="G61" i="84"/>
  <c r="I61" i="84"/>
  <c r="G994" i="93"/>
  <c r="I11" i="86"/>
  <c r="C995" i="93"/>
  <c r="E12" i="86"/>
  <c r="I995" i="93"/>
  <c r="D32" i="86"/>
  <c r="J56" i="74"/>
  <c r="J1012" i="93" s="1"/>
  <c r="J1020" i="93" s="1"/>
  <c r="C1024" i="93"/>
  <c r="H31" i="86"/>
  <c r="I1024" i="93"/>
  <c r="G51" i="86"/>
  <c r="E1025" i="93"/>
  <c r="C52" i="86"/>
  <c r="B994" i="93"/>
  <c r="D11" i="86"/>
  <c r="C11" i="86"/>
  <c r="H994" i="93"/>
  <c r="C31" i="86"/>
  <c r="D995" i="93"/>
  <c r="F12" i="86"/>
  <c r="J995" i="93"/>
  <c r="E32" i="86"/>
  <c r="D1024" i="93"/>
  <c r="I31" i="86"/>
  <c r="J1024" i="93"/>
  <c r="H51" i="86"/>
  <c r="F1025" i="93"/>
  <c r="D52" i="86"/>
  <c r="T1727" i="93"/>
  <c r="A2011" i="93"/>
  <c r="T1729" i="93"/>
  <c r="F1910" i="93"/>
  <c r="A623" i="93"/>
  <c r="I712" i="93"/>
  <c r="A364"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F116" i="78"/>
  <c r="F113" i="78"/>
  <c r="F117" i="78"/>
  <c r="D28" i="74"/>
  <c r="O272" i="72"/>
  <c r="O1826" i="93" s="1"/>
  <c r="Q55" i="73"/>
  <c r="P42" i="73"/>
  <c r="P1136" i="93" s="1"/>
  <c r="O40" i="66"/>
  <c r="G62" i="74"/>
  <c r="F119"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D121" i="74" l="1"/>
  <c r="J64" i="74"/>
  <c r="I34" i="74"/>
  <c r="I767" i="93"/>
  <c r="K767" i="93" s="1"/>
  <c r="L767" i="93" s="1"/>
  <c r="K10" i="75"/>
  <c r="L10" i="75" s="1"/>
  <c r="I769" i="93"/>
  <c r="K769" i="93" s="1"/>
  <c r="L769" i="93" s="1"/>
  <c r="K12" i="75"/>
  <c r="L12" i="75" s="1"/>
  <c r="I768" i="93"/>
  <c r="K768" i="93" s="1"/>
  <c r="L768" i="93" s="1"/>
  <c r="K11" i="75"/>
  <c r="L11" i="75" s="1"/>
  <c r="I770" i="93"/>
  <c r="K770" i="93" s="1"/>
  <c r="L770" i="93" s="1"/>
  <c r="K13" i="75"/>
  <c r="L13" i="75" s="1"/>
  <c r="K58" i="84"/>
  <c r="K62" i="84" s="1"/>
  <c r="E58" i="84"/>
  <c r="E62" i="84" s="1"/>
  <c r="I58" i="84"/>
  <c r="I62" i="84" s="1"/>
  <c r="G58" i="84"/>
  <c r="G62" i="84" s="1"/>
  <c r="K1039" i="93"/>
  <c r="K1050" i="93" s="1"/>
  <c r="B993" i="93"/>
  <c r="C1067" i="93"/>
  <c r="G1039" i="93"/>
  <c r="G1046" i="93" s="1"/>
  <c r="C37" i="74"/>
  <c r="F1067" i="93"/>
  <c r="F1074" i="93" s="1"/>
  <c r="J1039" i="93"/>
  <c r="J1046" i="93" s="1"/>
  <c r="I1039" i="93"/>
  <c r="I1046" i="93" s="1"/>
  <c r="I979" i="93"/>
  <c r="E15" i="87"/>
  <c r="B1015" i="93"/>
  <c r="F34" i="86"/>
  <c r="J985" i="93"/>
  <c r="D34" i="86"/>
  <c r="H1039" i="93"/>
  <c r="I32" i="74"/>
  <c r="I980" i="93"/>
  <c r="I988" i="93" s="1"/>
  <c r="K91" i="74"/>
  <c r="K1040" i="93"/>
  <c r="K1047" i="93" s="1"/>
  <c r="F32" i="74"/>
  <c r="F980" i="93"/>
  <c r="F988" i="93" s="1"/>
  <c r="J93" i="74"/>
  <c r="J1042" i="93"/>
  <c r="J1049" i="93" s="1"/>
  <c r="H1009" i="93"/>
  <c r="E24" i="87"/>
  <c r="E1009" i="93"/>
  <c r="E21" i="87"/>
  <c r="K1009" i="93"/>
  <c r="E27" i="87"/>
  <c r="E979" i="93"/>
  <c r="E11" i="87"/>
  <c r="F47" i="78"/>
  <c r="H18" i="84"/>
  <c r="C53" i="82"/>
  <c r="C984" i="93"/>
  <c r="F1015" i="93"/>
  <c r="C54" i="86"/>
  <c r="F985" i="93"/>
  <c r="G14" i="86"/>
  <c r="F64" i="74"/>
  <c r="F1012" i="93"/>
  <c r="F1020" i="93" s="1"/>
  <c r="K979" i="93"/>
  <c r="E17" i="87"/>
  <c r="C91" i="74"/>
  <c r="C1040" i="93"/>
  <c r="C1047" i="93" s="1"/>
  <c r="H979" i="93"/>
  <c r="E14" i="87"/>
  <c r="J91" i="74"/>
  <c r="J1040" i="93"/>
  <c r="J1047" i="93" s="1"/>
  <c r="G33" i="74"/>
  <c r="G981" i="93"/>
  <c r="G989" i="93" s="1"/>
  <c r="D979" i="93"/>
  <c r="E10" i="87"/>
  <c r="C1039" i="93"/>
  <c r="E29" i="87"/>
  <c r="G1009" i="93"/>
  <c r="E23" i="87"/>
  <c r="J979" i="93"/>
  <c r="E16" i="87"/>
  <c r="K985" i="93"/>
  <c r="E34" i="86"/>
  <c r="D1015" i="93"/>
  <c r="H34" i="86"/>
  <c r="J62" i="74"/>
  <c r="J1010" i="93"/>
  <c r="J1018" i="93" s="1"/>
  <c r="C979" i="93"/>
  <c r="E9" i="87"/>
  <c r="E1039" i="93"/>
  <c r="E31" i="87"/>
  <c r="C119" i="74"/>
  <c r="C1068" i="93"/>
  <c r="C1075" i="93" s="1"/>
  <c r="B91" i="74"/>
  <c r="B1040" i="93"/>
  <c r="B1047" i="93" s="1"/>
  <c r="E32" i="74"/>
  <c r="E980" i="93"/>
  <c r="E988" i="93" s="1"/>
  <c r="F93" i="74"/>
  <c r="F1042" i="93"/>
  <c r="F1049" i="93" s="1"/>
  <c r="D1077" i="93"/>
  <c r="C1009" i="93"/>
  <c r="E19" i="87"/>
  <c r="F979" i="93"/>
  <c r="E12" i="87"/>
  <c r="B1067" i="93"/>
  <c r="F1039" i="93"/>
  <c r="E32" i="87"/>
  <c r="J1009" i="93"/>
  <c r="E26" i="87"/>
  <c r="D53" i="82"/>
  <c r="D984" i="93"/>
  <c r="B985" i="93"/>
  <c r="C14" i="86"/>
  <c r="G985" i="93"/>
  <c r="H14" i="86"/>
  <c r="I985" i="93"/>
  <c r="C34" i="86"/>
  <c r="E1067" i="93"/>
  <c r="B62" i="74"/>
  <c r="B1010" i="93"/>
  <c r="B1018" i="93" s="1"/>
  <c r="J32" i="74"/>
  <c r="J980" i="93"/>
  <c r="J988" i="93" s="1"/>
  <c r="B64" i="74"/>
  <c r="B1012" i="93"/>
  <c r="B1020" i="93" s="1"/>
  <c r="G91" i="74"/>
  <c r="G1040" i="93"/>
  <c r="G1047" i="93" s="1"/>
  <c r="D1039" i="93"/>
  <c r="E30" i="87"/>
  <c r="G979" i="93"/>
  <c r="E13" i="87"/>
  <c r="B979" i="93"/>
  <c r="E8" i="87"/>
  <c r="C75" i="84"/>
  <c r="B1039" i="93"/>
  <c r="E28" i="87"/>
  <c r="F1009" i="93"/>
  <c r="E22" i="87"/>
  <c r="J151" i="78"/>
  <c r="J153" i="78" s="1"/>
  <c r="E3" i="86"/>
  <c r="H985" i="93"/>
  <c r="I14" i="86"/>
  <c r="C985" i="93"/>
  <c r="D14" i="86"/>
  <c r="E985" i="93"/>
  <c r="F14" i="86"/>
  <c r="B93" i="74"/>
  <c r="B1042" i="93"/>
  <c r="B1049" i="93" s="1"/>
  <c r="D1009" i="93"/>
  <c r="E20" i="87"/>
  <c r="E121" i="74"/>
  <c r="E1070" i="93"/>
  <c r="E1077" i="93" s="1"/>
  <c r="B32" i="74"/>
  <c r="B980" i="93"/>
  <c r="B988" i="93" s="1"/>
  <c r="D63" i="74"/>
  <c r="D1011" i="93"/>
  <c r="D1019" i="93" s="1"/>
  <c r="K62" i="74"/>
  <c r="K1010" i="93"/>
  <c r="K1018" i="93" s="1"/>
  <c r="I1050" i="93"/>
  <c r="K991" i="93"/>
  <c r="K989" i="93"/>
  <c r="B1009" i="93"/>
  <c r="E18" i="87"/>
  <c r="B4" i="82"/>
  <c r="J1937" i="93"/>
  <c r="G1776" i="93"/>
  <c r="I422" i="93"/>
  <c r="K9" i="88"/>
  <c r="K23" i="88" s="1"/>
  <c r="K28" i="88" s="1"/>
  <c r="F39" i="88" s="1"/>
  <c r="C18" i="84"/>
  <c r="O51" i="93"/>
  <c r="T1728" i="93"/>
  <c r="O763" i="93"/>
  <c r="M763" i="93"/>
  <c r="D985" i="93"/>
  <c r="E14" i="86"/>
  <c r="C1015" i="93"/>
  <c r="G34" i="86"/>
  <c r="E1015" i="93"/>
  <c r="I34" i="86"/>
  <c r="F91" i="74"/>
  <c r="F1040" i="93"/>
  <c r="F1047" i="93" s="1"/>
  <c r="E34" i="74"/>
  <c r="E982" i="93"/>
  <c r="E990" i="93" s="1"/>
  <c r="D1067" i="93"/>
  <c r="I1009" i="93"/>
  <c r="E25" i="87"/>
  <c r="D119" i="74"/>
  <c r="D1068" i="93"/>
  <c r="D1075" i="93" s="1"/>
  <c r="F62" i="74"/>
  <c r="F1010" i="93"/>
  <c r="F1018"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K1046" i="93" l="1"/>
  <c r="G1050" i="93"/>
  <c r="C1078" i="93"/>
  <c r="L48" i="75"/>
  <c r="L49" i="75" s="1"/>
  <c r="L805" i="93"/>
  <c r="L806" i="93" s="1"/>
  <c r="H73" i="93"/>
  <c r="R15" i="75"/>
  <c r="R772" i="93" s="1"/>
  <c r="R13" i="75"/>
  <c r="R770" i="93" s="1"/>
  <c r="R14" i="75"/>
  <c r="R771" i="93" s="1"/>
  <c r="R11" i="75"/>
  <c r="R768" i="93" s="1"/>
  <c r="R10" i="75"/>
  <c r="R767" i="93" s="1"/>
  <c r="R12" i="75"/>
  <c r="R769" i="93" s="1"/>
  <c r="I1153" i="93"/>
  <c r="I73" i="93"/>
  <c r="F1078" i="93"/>
  <c r="C1074" i="93"/>
  <c r="C993" i="93"/>
  <c r="D37" i="74"/>
  <c r="D10" i="86"/>
  <c r="H78" i="93"/>
  <c r="F56" i="89"/>
  <c r="D37" i="90" s="1"/>
  <c r="L1954" i="93"/>
  <c r="D8" i="88"/>
  <c r="E8" i="88" s="1"/>
  <c r="M1145" i="93"/>
  <c r="N1145" i="93"/>
  <c r="F1147" i="93"/>
  <c r="H1142" i="93"/>
  <c r="N1139" i="93"/>
  <c r="M1139" i="93"/>
  <c r="I1152" i="93"/>
  <c r="I1158" i="93"/>
  <c r="I1142" i="93"/>
  <c r="I1147" i="93" s="1"/>
  <c r="M1938" i="93"/>
  <c r="M1939" i="93" s="1"/>
  <c r="J1938" i="93"/>
  <c r="J1939" i="93" s="1"/>
  <c r="G35" i="86"/>
  <c r="F15" i="86"/>
  <c r="D15" i="86"/>
  <c r="H35" i="86"/>
  <c r="C35" i="86"/>
  <c r="H55" i="86"/>
  <c r="I35" i="86"/>
  <c r="D35" i="86"/>
  <c r="G15" i="86"/>
  <c r="D55" i="86"/>
  <c r="E35" i="86"/>
  <c r="G55" i="86"/>
  <c r="C15" i="86"/>
  <c r="E15" i="86"/>
  <c r="F35" i="86"/>
  <c r="O16" i="86"/>
  <c r="C55" i="86"/>
  <c r="O17" i="86"/>
  <c r="E55" i="86"/>
  <c r="H15" i="86"/>
  <c r="F55" i="86"/>
  <c r="I15" i="86"/>
  <c r="G75" i="84"/>
  <c r="G77" i="84" s="1"/>
  <c r="E75" i="84"/>
  <c r="E77" i="84" s="1"/>
  <c r="C77" i="84"/>
  <c r="K75" i="84"/>
  <c r="K77" i="84" s="1"/>
  <c r="I75" i="84"/>
  <c r="I77" i="84" s="1"/>
  <c r="J1017" i="93"/>
  <c r="J1021" i="93"/>
  <c r="F987" i="93"/>
  <c r="F991" i="93"/>
  <c r="J1050" i="93"/>
  <c r="J987" i="93"/>
  <c r="J991" i="93"/>
  <c r="H987" i="93"/>
  <c r="H991" i="93"/>
  <c r="E1021" i="93"/>
  <c r="E1017" i="93"/>
  <c r="H1046" i="93"/>
  <c r="H1050" i="93"/>
  <c r="N1138" i="93"/>
  <c r="M1138" i="93"/>
  <c r="F1154" i="93"/>
  <c r="H1149" i="93"/>
  <c r="H1836" i="93"/>
  <c r="H76" i="93"/>
  <c r="M1143" i="93"/>
  <c r="N1143" i="93"/>
  <c r="N1153" i="93"/>
  <c r="M1153" i="93"/>
  <c r="E53" i="82"/>
  <c r="E984" i="93"/>
  <c r="E986" i="93" s="1"/>
  <c r="I1136" i="93"/>
  <c r="I1159" i="93"/>
  <c r="I1144" i="93"/>
  <c r="G991" i="93"/>
  <c r="G987" i="93"/>
  <c r="E1074" i="93"/>
  <c r="E1078" i="93"/>
  <c r="K1021" i="93"/>
  <c r="K1017" i="93"/>
  <c r="I987" i="93"/>
  <c r="I991" i="93"/>
  <c r="M1135" i="93"/>
  <c r="N1135" i="93"/>
  <c r="N1140" i="93" s="1"/>
  <c r="K1140" i="93"/>
  <c r="M1144" i="93"/>
  <c r="N1144" i="93"/>
  <c r="K1161" i="93"/>
  <c r="M1156" i="93"/>
  <c r="N1156" i="93"/>
  <c r="N1161" i="93" s="1"/>
  <c r="N1160" i="93"/>
  <c r="M1160" i="93"/>
  <c r="N1157" i="93"/>
  <c r="M1157" i="93"/>
  <c r="N1158" i="93"/>
  <c r="M1158" i="93"/>
  <c r="M1151" i="93"/>
  <c r="N1151" i="93"/>
  <c r="I1138" i="93"/>
  <c r="I1160" i="93"/>
  <c r="I1146" i="93"/>
  <c r="I1017" i="93"/>
  <c r="I1021" i="93"/>
  <c r="K40" i="84"/>
  <c r="D18" i="84"/>
  <c r="C38" i="84"/>
  <c r="D1017" i="93"/>
  <c r="D1021" i="93"/>
  <c r="F1046" i="93"/>
  <c r="F1050" i="93"/>
  <c r="C1017" i="93"/>
  <c r="C1021" i="93"/>
  <c r="E1050" i="93"/>
  <c r="E1046" i="93"/>
  <c r="G1017" i="93"/>
  <c r="G1021" i="93"/>
  <c r="J18" i="84"/>
  <c r="C40" i="84"/>
  <c r="H1017" i="93"/>
  <c r="H1021" i="93"/>
  <c r="M1146" i="93"/>
  <c r="N1146" i="93"/>
  <c r="M1150" i="93"/>
  <c r="N1150" i="93"/>
  <c r="I1143" i="93"/>
  <c r="I1137" i="93"/>
  <c r="I1151" i="93"/>
  <c r="B1017" i="93"/>
  <c r="B1021" i="93"/>
  <c r="F1017" i="93"/>
  <c r="F1021" i="93"/>
  <c r="B1074" i="93"/>
  <c r="B1078" i="93"/>
  <c r="K1147" i="93"/>
  <c r="M1142" i="93"/>
  <c r="N1142" i="93"/>
  <c r="N1147" i="93" s="1"/>
  <c r="M1152" i="93"/>
  <c r="N1152" i="93"/>
  <c r="M1149" i="93"/>
  <c r="K1154" i="93"/>
  <c r="N1149" i="93"/>
  <c r="N1154" i="93" s="1"/>
  <c r="C41" i="74"/>
  <c r="B997" i="93"/>
  <c r="I1135" i="93"/>
  <c r="I1140" i="93" s="1"/>
  <c r="I1145" i="93"/>
  <c r="I1149" i="93"/>
  <c r="I1154" i="93" s="1"/>
  <c r="D1074" i="93"/>
  <c r="P414" i="93"/>
  <c r="P413" i="93"/>
  <c r="I423" i="93"/>
  <c r="D1046" i="93"/>
  <c r="D1050" i="93"/>
  <c r="D1078" i="93"/>
  <c r="C991" i="93"/>
  <c r="C987" i="93"/>
  <c r="C986" i="93"/>
  <c r="C1050" i="93"/>
  <c r="C1046" i="93"/>
  <c r="K987" i="93"/>
  <c r="M1136" i="93"/>
  <c r="N1136" i="93"/>
  <c r="F1140" i="93"/>
  <c r="H1135" i="93"/>
  <c r="E7" i="88"/>
  <c r="H1156" i="93"/>
  <c r="F1161" i="93"/>
  <c r="N1137" i="93"/>
  <c r="M1137" i="93"/>
  <c r="T1731" i="93"/>
  <c r="P934" i="93"/>
  <c r="N1159" i="93"/>
  <c r="M1159" i="93"/>
  <c r="I44" i="68"/>
  <c r="I407" i="93" s="1"/>
  <c r="I1139" i="93"/>
  <c r="I1156" i="93"/>
  <c r="I1161" i="93" s="1"/>
  <c r="I1150" i="93"/>
  <c r="I1157" i="93"/>
  <c r="B1046" i="93"/>
  <c r="B1050" i="93"/>
  <c r="D987" i="93"/>
  <c r="D991" i="93"/>
  <c r="D986" i="93"/>
  <c r="E987" i="93"/>
  <c r="E991"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H77" i="93"/>
  <c r="H79" i="93" s="1"/>
  <c r="D12" i="88"/>
  <c r="E13" i="88"/>
  <c r="F1163" i="93"/>
  <c r="P415" i="93"/>
  <c r="D993" i="93"/>
  <c r="E37" i="74"/>
  <c r="E10" i="86"/>
  <c r="L1952" i="93"/>
  <c r="L1953" i="93" s="1"/>
  <c r="M1952" i="93" s="1"/>
  <c r="E13" i="84"/>
  <c r="F53" i="82"/>
  <c r="F984" i="93"/>
  <c r="F986" i="93" s="1"/>
  <c r="D41" i="74"/>
  <c r="C997" i="93"/>
  <c r="C81" i="84"/>
  <c r="C80" i="84"/>
  <c r="L1968" i="93"/>
  <c r="P67" i="93"/>
  <c r="K1163" i="93"/>
  <c r="O19" i="86"/>
  <c r="O23" i="86" s="1"/>
  <c r="O25" i="86" s="1"/>
  <c r="O31" i="86" s="1"/>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B971" i="93" l="1"/>
  <c r="B972" i="93" s="1"/>
  <c r="B976" i="93" s="1"/>
  <c r="E14" i="74"/>
  <c r="C52" i="84"/>
  <c r="C14" i="74"/>
  <c r="F14" i="74"/>
  <c r="B15" i="74"/>
  <c r="D14" i="74"/>
  <c r="H879" i="93"/>
  <c r="O879" i="93" s="1"/>
  <c r="O122" i="75"/>
  <c r="E993" i="93"/>
  <c r="F37" i="74"/>
  <c r="F10" i="86"/>
  <c r="J1599" i="93"/>
  <c r="O168" i="93"/>
  <c r="P168" i="93"/>
  <c r="F479" i="93"/>
  <c r="P167" i="93"/>
  <c r="G53" i="82"/>
  <c r="G984" i="93"/>
  <c r="G986" i="93" s="1"/>
  <c r="K18" i="88"/>
  <c r="H16" i="85"/>
  <c r="G570" i="93"/>
  <c r="P479" i="93"/>
  <c r="M590" i="93"/>
  <c r="M591" i="93" s="1"/>
  <c r="M593" i="93" s="1"/>
  <c r="B977" i="93"/>
  <c r="P936" i="93"/>
  <c r="E41" i="74"/>
  <c r="D997" i="93"/>
  <c r="J590" i="93"/>
  <c r="J591" i="93" s="1"/>
  <c r="J593" i="93" s="1"/>
  <c r="P590" i="93"/>
  <c r="P591" i="93" s="1"/>
  <c r="P593" i="93" s="1"/>
  <c r="I7" i="88"/>
  <c r="I13" i="88" s="1"/>
  <c r="H12" i="88"/>
  <c r="D34" i="90"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C15" i="74" l="1"/>
  <c r="C16" i="74" s="1"/>
  <c r="C20" i="74" s="1"/>
  <c r="F15" i="74"/>
  <c r="D15" i="74"/>
  <c r="D16" i="74" s="1"/>
  <c r="E15" i="74"/>
  <c r="G15" i="74"/>
  <c r="G16" i="74" s="1"/>
  <c r="G20" i="74" s="1"/>
  <c r="B16" i="74"/>
  <c r="C53" i="84"/>
  <c r="I52" i="84"/>
  <c r="K52" i="84"/>
  <c r="E52" i="84"/>
  <c r="G52" i="84"/>
  <c r="H15" i="74"/>
  <c r="H16" i="74" s="1"/>
  <c r="H20" i="74" s="1"/>
  <c r="J594" i="93"/>
  <c r="F993" i="93"/>
  <c r="G37" i="74"/>
  <c r="G10" i="86"/>
  <c r="E47" i="78"/>
  <c r="N94" i="93"/>
  <c r="J1836" i="93"/>
  <c r="L1836" i="93" s="1"/>
  <c r="O1980" i="93"/>
  <c r="O1981" i="93" s="1"/>
  <c r="M1962" i="93"/>
  <c r="O1975" i="93"/>
  <c r="O1976" i="93" s="1"/>
  <c r="L1951" i="93"/>
  <c r="F560" i="93"/>
  <c r="E483" i="93"/>
  <c r="D570" i="93"/>
  <c r="E514" i="93"/>
  <c r="J479" i="93"/>
  <c r="N97" i="93"/>
  <c r="C13" i="84"/>
  <c r="F41" i="74"/>
  <c r="E997" i="93"/>
  <c r="M937" i="93"/>
  <c r="P937" i="93"/>
  <c r="H53" i="82"/>
  <c r="H984" i="93"/>
  <c r="H986" i="93" s="1"/>
  <c r="F54" i="89"/>
  <c r="D33" i="90" s="1"/>
  <c r="D55" i="92" s="1"/>
  <c r="J157" i="78"/>
  <c r="J158" i="78" s="1"/>
  <c r="G15" i="82"/>
  <c r="G19" i="8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E16" i="74" l="1"/>
  <c r="E20" i="74"/>
  <c r="F16" i="74"/>
  <c r="F20" i="74"/>
  <c r="G53" i="84"/>
  <c r="G54" i="84" s="1"/>
  <c r="G56" i="84" s="1"/>
  <c r="G64" i="84" s="1"/>
  <c r="I53" i="84"/>
  <c r="K53" i="84"/>
  <c r="E53" i="84"/>
  <c r="K5" i="74"/>
  <c r="C54" i="84"/>
  <c r="C56" i="84" s="1"/>
  <c r="C64" i="84" s="1"/>
  <c r="B20" i="74"/>
  <c r="J4" i="91"/>
  <c r="D20" i="74"/>
  <c r="G993" i="93"/>
  <c r="H37" i="74"/>
  <c r="H10" i="86"/>
  <c r="L305" i="73"/>
  <c r="M1399" i="93"/>
  <c r="L1399" i="93" s="1"/>
  <c r="L301" i="73"/>
  <c r="M1395" i="93"/>
  <c r="L1395" i="93" s="1"/>
  <c r="G41" i="74"/>
  <c r="F997" i="93"/>
  <c r="D35" i="90"/>
  <c r="I64" i="92" s="1"/>
  <c r="K19" i="88"/>
  <c r="F52" i="89"/>
  <c r="F16" i="85"/>
  <c r="D16" i="83"/>
  <c r="C19" i="84"/>
  <c r="H19" i="84"/>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P927" i="93" l="1"/>
  <c r="P170" i="75"/>
  <c r="K7" i="74"/>
  <c r="E54" i="84"/>
  <c r="E56" i="84" s="1"/>
  <c r="E64" i="84" s="1"/>
  <c r="I54" i="84"/>
  <c r="I56" i="84" s="1"/>
  <c r="I64" i="84" s="1"/>
  <c r="K54" i="84"/>
  <c r="K56" i="84" s="1"/>
  <c r="K64" i="84" s="1"/>
  <c r="H993" i="93"/>
  <c r="I37" i="74"/>
  <c r="I10" i="86"/>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N172" i="75" l="1"/>
  <c r="N171" i="75"/>
  <c r="P175" i="75"/>
  <c r="C68" i="84"/>
  <c r="N929" i="93"/>
  <c r="P932" i="93"/>
  <c r="N928" i="93"/>
  <c r="I993" i="93"/>
  <c r="J37" i="74"/>
  <c r="C30" i="86"/>
  <c r="I41" i="74"/>
  <c r="H997" i="93"/>
  <c r="E40" i="72"/>
  <c r="E1594" i="93" s="1"/>
  <c r="O1950" i="93"/>
  <c r="G598" i="93"/>
  <c r="J601" i="93"/>
  <c r="J603" i="93" s="1"/>
  <c r="J605" i="93" s="1"/>
  <c r="J607" i="93" s="1"/>
  <c r="K53" i="82"/>
  <c r="G162" i="78"/>
  <c r="J165" i="78"/>
  <c r="J167" i="78" s="1"/>
  <c r="B58" i="74"/>
  <c r="K16" i="74"/>
  <c r="K20" i="74" s="1"/>
  <c r="C43" i="74"/>
  <c r="B51" i="74"/>
  <c r="F33" i="86" s="1"/>
  <c r="B45" i="74"/>
  <c r="B44" i="74"/>
  <c r="P947" i="93" l="1"/>
  <c r="O933" i="93"/>
  <c r="M932" i="93"/>
  <c r="C70" i="84"/>
  <c r="K68" i="84"/>
  <c r="K70" i="84" s="1"/>
  <c r="G68" i="84"/>
  <c r="G70" i="84" s="1"/>
  <c r="I68" i="84"/>
  <c r="I70" i="84" s="1"/>
  <c r="E68" i="84"/>
  <c r="E70" i="84" s="1"/>
  <c r="F121" i="78"/>
  <c r="P190" i="75"/>
  <c r="F558" i="93"/>
  <c r="F122" i="78"/>
  <c r="O176" i="75"/>
  <c r="M175" i="75"/>
  <c r="B975" i="93"/>
  <c r="B19" i="74"/>
  <c r="C49" i="74" s="1"/>
  <c r="F557" i="93"/>
  <c r="B15" i="82"/>
  <c r="J169" i="78"/>
  <c r="J171" i="78" s="1"/>
  <c r="J611" i="93"/>
  <c r="E535" i="93" s="1"/>
  <c r="J535" i="93" s="1"/>
  <c r="M609" i="93"/>
  <c r="J993" i="93"/>
  <c r="K37" i="74"/>
  <c r="D30" i="86"/>
  <c r="B73" i="82"/>
  <c r="B1014" i="93"/>
  <c r="B1016" i="93" s="1"/>
  <c r="J41" i="74"/>
  <c r="I997" i="93"/>
  <c r="C58" i="74"/>
  <c r="O43" i="72"/>
  <c r="O1597" i="93" s="1"/>
  <c r="R1597" i="93" s="1"/>
  <c r="D43" i="74"/>
  <c r="C44" i="74"/>
  <c r="C45" i="74"/>
  <c r="C51" i="74"/>
  <c r="G33" i="86" s="1"/>
  <c r="B46" i="74"/>
  <c r="K76" i="84" l="1"/>
  <c r="K73" i="84" s="1"/>
  <c r="K72" i="84"/>
  <c r="K19" i="74"/>
  <c r="C19" i="74"/>
  <c r="J19" i="74"/>
  <c r="H19" i="74"/>
  <c r="E19" i="74"/>
  <c r="I19" i="74"/>
  <c r="G19" i="74"/>
  <c r="B36" i="74"/>
  <c r="D19" i="74"/>
  <c r="B49" i="74"/>
  <c r="F19" i="74"/>
  <c r="B22" i="74"/>
  <c r="C76" i="84"/>
  <c r="C73" i="84" s="1"/>
  <c r="C72" i="84"/>
  <c r="B978" i="93"/>
  <c r="B992" i="93"/>
  <c r="G72" i="84"/>
  <c r="G76" i="84"/>
  <c r="G73" i="84" s="1"/>
  <c r="E76" i="84"/>
  <c r="E73" i="84" s="1"/>
  <c r="E72" i="84"/>
  <c r="I72" i="84"/>
  <c r="I76" i="84"/>
  <c r="I73" i="84" s="1"/>
  <c r="J175" i="78"/>
  <c r="M173" i="78"/>
  <c r="B50" i="74"/>
  <c r="K993" i="93"/>
  <c r="B67" i="74"/>
  <c r="F30" i="86" s="1"/>
  <c r="E30" i="86"/>
  <c r="K41" i="74"/>
  <c r="J997" i="93"/>
  <c r="C73" i="82"/>
  <c r="C1014" i="93"/>
  <c r="C1016" i="93" s="1"/>
  <c r="D58" i="74"/>
  <c r="P43" i="72"/>
  <c r="R43" i="72"/>
  <c r="C46" i="74"/>
  <c r="D44" i="74"/>
  <c r="E43" i="74"/>
  <c r="D51" i="74"/>
  <c r="H33" i="86" s="1"/>
  <c r="D49" i="74"/>
  <c r="D45" i="74"/>
  <c r="B66" i="74" l="1"/>
  <c r="B986" i="93"/>
  <c r="B987" i="93"/>
  <c r="B991" i="93"/>
  <c r="D22" i="74"/>
  <c r="D36" i="74"/>
  <c r="J36" i="74"/>
  <c r="J22" i="74"/>
  <c r="C36" i="74"/>
  <c r="C22" i="74"/>
  <c r="H22" i="74"/>
  <c r="H36" i="74"/>
  <c r="G22" i="74"/>
  <c r="G36" i="74"/>
  <c r="K22" i="74"/>
  <c r="K36" i="74"/>
  <c r="B31" i="74"/>
  <c r="B30" i="74"/>
  <c r="B44" i="82"/>
  <c r="B35" i="74"/>
  <c r="I36" i="74"/>
  <c r="I22" i="74"/>
  <c r="F36" i="74"/>
  <c r="F22" i="74"/>
  <c r="E36" i="74"/>
  <c r="E22" i="74"/>
  <c r="L49" i="68"/>
  <c r="E99" i="78"/>
  <c r="J99" i="78" s="1"/>
  <c r="I20" i="93"/>
  <c r="I9" i="66"/>
  <c r="L412" i="93"/>
  <c r="N412" i="93" s="1"/>
  <c r="C21" i="86"/>
  <c r="L50" i="68"/>
  <c r="N50" i="68" s="1"/>
  <c r="L413" i="93"/>
  <c r="N413" i="93" s="1"/>
  <c r="M61" i="85"/>
  <c r="P61" i="85" s="1"/>
  <c r="B52" i="74"/>
  <c r="C50" i="74"/>
  <c r="C66" i="74" s="1"/>
  <c r="B1023" i="93"/>
  <c r="C67" i="74"/>
  <c r="D73" i="82"/>
  <c r="D1014" i="93"/>
  <c r="D1016" i="93" s="1"/>
  <c r="B71" i="74"/>
  <c r="K997" i="93"/>
  <c r="P441" i="72"/>
  <c r="P444" i="72" s="1"/>
  <c r="P1597" i="93"/>
  <c r="P1995" i="93" s="1"/>
  <c r="E58" i="74"/>
  <c r="D46" i="74"/>
  <c r="D50" i="74" s="1"/>
  <c r="D66" i="74" s="1"/>
  <c r="E44" i="74"/>
  <c r="F43" i="74"/>
  <c r="E49" i="74"/>
  <c r="E45" i="74"/>
  <c r="E51" i="74"/>
  <c r="I33" i="86" s="1"/>
  <c r="F31" i="74" l="1"/>
  <c r="F35" i="74"/>
  <c r="F44" i="82"/>
  <c r="F30" i="74"/>
  <c r="G9" i="86" s="1"/>
  <c r="G17" i="86" s="1"/>
  <c r="G18" i="86" s="1"/>
  <c r="G20" i="86" s="1"/>
  <c r="G24" i="86" s="1"/>
  <c r="K10" i="86" s="1"/>
  <c r="C9" i="86"/>
  <c r="C17" i="86" s="1"/>
  <c r="C18" i="86" s="1"/>
  <c r="C20" i="86" s="1"/>
  <c r="C24" i="86" s="1"/>
  <c r="K6" i="86" s="1"/>
  <c r="G66" i="86" s="1"/>
  <c r="N85" i="85" s="1"/>
  <c r="S19" i="74"/>
  <c r="G35" i="74"/>
  <c r="G44" i="82"/>
  <c r="G30" i="74"/>
  <c r="H9" i="86" s="1"/>
  <c r="H17" i="86" s="1"/>
  <c r="H18" i="86" s="1"/>
  <c r="H20" i="86" s="1"/>
  <c r="H24" i="86" s="1"/>
  <c r="K11" i="86" s="1"/>
  <c r="G31" i="74"/>
  <c r="H31" i="74"/>
  <c r="H30" i="74"/>
  <c r="I9" i="86" s="1"/>
  <c r="I17" i="86" s="1"/>
  <c r="I18" i="86" s="1"/>
  <c r="I20" i="86" s="1"/>
  <c r="I24" i="86" s="1"/>
  <c r="K12" i="86" s="1"/>
  <c r="H35" i="74"/>
  <c r="H44" i="82"/>
  <c r="D31" i="74"/>
  <c r="D35" i="74"/>
  <c r="D30" i="74"/>
  <c r="E9" i="86" s="1"/>
  <c r="E17" i="86" s="1"/>
  <c r="E18" i="86" s="1"/>
  <c r="E20" i="86" s="1"/>
  <c r="E24" i="86" s="1"/>
  <c r="K8" i="86" s="1"/>
  <c r="D44" i="82"/>
  <c r="I31" i="74"/>
  <c r="I44" i="82"/>
  <c r="I30" i="74"/>
  <c r="C29" i="86" s="1"/>
  <c r="C37" i="86" s="1"/>
  <c r="C38" i="86" s="1"/>
  <c r="C40" i="86" s="1"/>
  <c r="C44" i="86" s="1"/>
  <c r="K13" i="86" s="1"/>
  <c r="I35" i="74"/>
  <c r="C35" i="74"/>
  <c r="C30" i="74"/>
  <c r="C31" i="74"/>
  <c r="C44" i="82"/>
  <c r="B51" i="82"/>
  <c r="B46" i="82"/>
  <c r="K44" i="82"/>
  <c r="K30" i="74"/>
  <c r="E29" i="86" s="1"/>
  <c r="E37" i="86" s="1"/>
  <c r="E38" i="86" s="1"/>
  <c r="E40" i="86" s="1"/>
  <c r="E44" i="86" s="1"/>
  <c r="K15" i="86" s="1"/>
  <c r="K35" i="74"/>
  <c r="K31" i="74"/>
  <c r="E31" i="74"/>
  <c r="E44" i="82"/>
  <c r="E35" i="74"/>
  <c r="E30" i="74"/>
  <c r="F9" i="86" s="1"/>
  <c r="F17" i="86" s="1"/>
  <c r="F18" i="86" s="1"/>
  <c r="F20" i="86" s="1"/>
  <c r="F24" i="86" s="1"/>
  <c r="K9" i="86" s="1"/>
  <c r="J44" i="82"/>
  <c r="J35" i="74"/>
  <c r="J30" i="74"/>
  <c r="D29" i="86" s="1"/>
  <c r="D37" i="86" s="1"/>
  <c r="D38" i="86" s="1"/>
  <c r="D40" i="86" s="1"/>
  <c r="D44" i="86" s="1"/>
  <c r="K14" i="86" s="1"/>
  <c r="J31" i="74"/>
  <c r="D21" i="86"/>
  <c r="C41" i="86"/>
  <c r="D41" i="86" s="1"/>
  <c r="E41" i="86" s="1"/>
  <c r="C22" i="86"/>
  <c r="C42" i="86" s="1"/>
  <c r="D42" i="86" s="1"/>
  <c r="E42" i="86" s="1"/>
  <c r="N49" i="68"/>
  <c r="B14" i="82"/>
  <c r="D52" i="74"/>
  <c r="D61" i="74" s="1"/>
  <c r="C52" i="74"/>
  <c r="B64" i="82"/>
  <c r="B60" i="74"/>
  <c r="B61" i="74"/>
  <c r="B65" i="74"/>
  <c r="C1023" i="93"/>
  <c r="D67" i="74"/>
  <c r="G30" i="86"/>
  <c r="C71" i="74"/>
  <c r="B1027" i="93"/>
  <c r="E73" i="82"/>
  <c r="E1014" i="93"/>
  <c r="E1016" i="93" s="1"/>
  <c r="P1998" i="93"/>
  <c r="P1560" i="93"/>
  <c r="F58" i="74"/>
  <c r="P6" i="72"/>
  <c r="E46" i="74"/>
  <c r="G43" i="74"/>
  <c r="F45" i="74"/>
  <c r="F51" i="74"/>
  <c r="C53" i="86" s="1"/>
  <c r="F49" i="74"/>
  <c r="F44" i="74"/>
  <c r="E51" i="82" l="1"/>
  <c r="E46" i="82"/>
  <c r="F51" i="82"/>
  <c r="F46" i="82"/>
  <c r="C51" i="82"/>
  <c r="C46" i="82"/>
  <c r="I51" i="82"/>
  <c r="I46" i="82"/>
  <c r="H46" i="82"/>
  <c r="H51" i="82"/>
  <c r="G51" i="82"/>
  <c r="G46" i="82"/>
  <c r="D9" i="86"/>
  <c r="D17" i="86" s="1"/>
  <c r="D18" i="86" s="1"/>
  <c r="D20" i="86" s="1"/>
  <c r="D24" i="86" s="1"/>
  <c r="K7" i="86" s="1"/>
  <c r="S27" i="74"/>
  <c r="S28" i="74"/>
  <c r="S23" i="74"/>
  <c r="S24" i="74"/>
  <c r="S20" i="74"/>
  <c r="S25" i="74"/>
  <c r="S22" i="74"/>
  <c r="S21" i="74"/>
  <c r="S26" i="74"/>
  <c r="D51" i="82"/>
  <c r="D46" i="82"/>
  <c r="K51" i="82"/>
  <c r="K46" i="82"/>
  <c r="J51" i="82"/>
  <c r="J46" i="82"/>
  <c r="D64" i="82"/>
  <c r="D71" i="82" s="1"/>
  <c r="D65" i="74"/>
  <c r="D60" i="74"/>
  <c r="H29" i="86" s="1"/>
  <c r="B20" i="82"/>
  <c r="B21" i="82" s="1"/>
  <c r="G20" i="82"/>
  <c r="E21" i="86"/>
  <c r="D22" i="86"/>
  <c r="F29" i="86"/>
  <c r="F37" i="86" s="1"/>
  <c r="F38" i="86" s="1"/>
  <c r="F40" i="86" s="1"/>
  <c r="F44" i="86" s="1"/>
  <c r="K16" i="86" s="1"/>
  <c r="S29" i="74"/>
  <c r="C61" i="74"/>
  <c r="C64" i="82"/>
  <c r="C60" i="74"/>
  <c r="G29" i="86" s="1"/>
  <c r="G37" i="86" s="1"/>
  <c r="G38" i="86" s="1"/>
  <c r="G40" i="86" s="1"/>
  <c r="G44" i="86" s="1"/>
  <c r="K17" i="86" s="1"/>
  <c r="C65" i="74"/>
  <c r="B66" i="82"/>
  <c r="B71" i="82"/>
  <c r="E50" i="74"/>
  <c r="E66" i="74" s="1"/>
  <c r="D1023" i="93"/>
  <c r="E67" i="74"/>
  <c r="H30" i="86"/>
  <c r="F73" i="82"/>
  <c r="F1014" i="93"/>
  <c r="F1016" i="93" s="1"/>
  <c r="D71" i="74"/>
  <c r="C1027" i="93"/>
  <c r="G58" i="74"/>
  <c r="F46" i="74"/>
  <c r="F50" i="74" s="1"/>
  <c r="F66" i="74" s="1"/>
  <c r="H43" i="74"/>
  <c r="G44" i="74"/>
  <c r="G45" i="74"/>
  <c r="G51" i="74"/>
  <c r="D53" i="86" s="1"/>
  <c r="G49" i="74"/>
  <c r="D66" i="82" l="1"/>
  <c r="F21" i="86"/>
  <c r="E22" i="86"/>
  <c r="E52" i="74"/>
  <c r="E64" i="82" s="1"/>
  <c r="E71" i="82" s="1"/>
  <c r="F52" i="74"/>
  <c r="F64" i="82" s="1"/>
  <c r="C71" i="82"/>
  <c r="C66" i="82"/>
  <c r="S30" i="74"/>
  <c r="S31" i="74"/>
  <c r="E1023" i="93"/>
  <c r="F67" i="74"/>
  <c r="I30" i="86"/>
  <c r="H37" i="86"/>
  <c r="H38" i="86" s="1"/>
  <c r="H40" i="86" s="1"/>
  <c r="H44" i="86" s="1"/>
  <c r="K18" i="86" s="1"/>
  <c r="G73" i="82"/>
  <c r="G1014" i="93"/>
  <c r="G1016" i="93" s="1"/>
  <c r="E71" i="74"/>
  <c r="D1027" i="93"/>
  <c r="H58" i="74"/>
  <c r="I43" i="74"/>
  <c r="H44" i="74"/>
  <c r="H45" i="74"/>
  <c r="H51" i="74"/>
  <c r="E53" i="86" s="1"/>
  <c r="H49" i="74"/>
  <c r="G46" i="74"/>
  <c r="F65" i="74" l="1"/>
  <c r="F61" i="74"/>
  <c r="F60" i="74"/>
  <c r="G21" i="86"/>
  <c r="F22" i="86"/>
  <c r="E60" i="74"/>
  <c r="E65" i="74"/>
  <c r="E61" i="74"/>
  <c r="E66" i="82"/>
  <c r="G50" i="74"/>
  <c r="G66" i="74" s="1"/>
  <c r="F1023" i="93"/>
  <c r="G67" i="74"/>
  <c r="D50" i="86" s="1"/>
  <c r="D57" i="86" s="1"/>
  <c r="D58" i="86" s="1"/>
  <c r="D60" i="86" s="1"/>
  <c r="D64" i="86" s="1"/>
  <c r="K21" i="86" s="1"/>
  <c r="C50" i="86"/>
  <c r="F71" i="74"/>
  <c r="E1027" i="93"/>
  <c r="H73" i="82"/>
  <c r="H1014" i="93"/>
  <c r="H1016" i="93" s="1"/>
  <c r="F71" i="82"/>
  <c r="F66" i="82"/>
  <c r="B25" i="82" s="1"/>
  <c r="I58" i="74"/>
  <c r="H46" i="74"/>
  <c r="I44" i="74"/>
  <c r="I49" i="74"/>
  <c r="J43" i="74"/>
  <c r="I51" i="74"/>
  <c r="F53" i="86" s="1"/>
  <c r="I45" i="74"/>
  <c r="S33" i="74" l="1"/>
  <c r="F44" i="68" s="1"/>
  <c r="F407" i="93" s="1"/>
  <c r="C49" i="86"/>
  <c r="C57" i="86" s="1"/>
  <c r="C58" i="86" s="1"/>
  <c r="C60" i="86" s="1"/>
  <c r="C64" i="86" s="1"/>
  <c r="K20" i="86" s="1"/>
  <c r="H21" i="86"/>
  <c r="G22" i="86"/>
  <c r="I29" i="86"/>
  <c r="I37" i="86" s="1"/>
  <c r="I38" i="86" s="1"/>
  <c r="I40" i="86" s="1"/>
  <c r="I44" i="86" s="1"/>
  <c r="K19" i="86" s="1"/>
  <c r="S32" i="74"/>
  <c r="G52" i="74"/>
  <c r="H50" i="74"/>
  <c r="H66" i="74" s="1"/>
  <c r="G1023" i="93"/>
  <c r="H67" i="74"/>
  <c r="I73" i="82"/>
  <c r="I1014" i="93"/>
  <c r="I1016" i="93" s="1"/>
  <c r="G71" i="74"/>
  <c r="G1027" i="93" s="1"/>
  <c r="F1027" i="93"/>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I21" i="86" l="1"/>
  <c r="I22" i="86" s="1"/>
  <c r="H22" i="86"/>
  <c r="G65" i="74"/>
  <c r="G60" i="74"/>
  <c r="S34" i="74" s="1"/>
  <c r="G61" i="74"/>
  <c r="G64" i="82"/>
  <c r="H52" i="74"/>
  <c r="I50" i="74"/>
  <c r="I66" i="74" s="1"/>
  <c r="H1023" i="93"/>
  <c r="I67" i="74"/>
  <c r="E50" i="86"/>
  <c r="E57" i="86" s="1"/>
  <c r="E58" i="86" s="1"/>
  <c r="E60" i="86" s="1"/>
  <c r="E64" i="86" s="1"/>
  <c r="K22" i="86" s="1"/>
  <c r="J73" i="82"/>
  <c r="J1014" i="93"/>
  <c r="J1016"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58" i="74"/>
  <c r="K1014" i="93" s="1"/>
  <c r="K1016" i="93" s="1"/>
  <c r="B73" i="74"/>
  <c r="K44" i="74"/>
  <c r="K45" i="74"/>
  <c r="K51" i="74"/>
  <c r="H53" i="86" s="1"/>
  <c r="K49" i="74"/>
  <c r="J46" i="74"/>
  <c r="G66" i="82" l="1"/>
  <c r="G71" i="82"/>
  <c r="G74" i="82" s="1"/>
  <c r="G75" i="82" s="1"/>
  <c r="G76" i="82" s="1"/>
  <c r="J50" i="74"/>
  <c r="J66" i="74" s="1"/>
  <c r="H65" i="74"/>
  <c r="H60" i="74"/>
  <c r="S35" i="74" s="1"/>
  <c r="H64" i="82"/>
  <c r="H61" i="74"/>
  <c r="I52" i="74"/>
  <c r="I1023" i="93"/>
  <c r="J67" i="74"/>
  <c r="F50" i="86"/>
  <c r="F57" i="86" s="1"/>
  <c r="F58" i="86" s="1"/>
  <c r="F60" i="86" s="1"/>
  <c r="F64" i="86" s="1"/>
  <c r="K23" i="86" s="1"/>
  <c r="B29" i="82"/>
  <c r="G21" i="82"/>
  <c r="B56" i="82"/>
  <c r="K73" i="82"/>
  <c r="B88" i="74"/>
  <c r="B1044" i="93" s="1"/>
  <c r="B1045" i="93" s="1"/>
  <c r="K46" i="74"/>
  <c r="K50" i="74" s="1"/>
  <c r="K66" i="74" s="1"/>
  <c r="C73" i="74"/>
  <c r="B81" i="74"/>
  <c r="B74" i="74"/>
  <c r="B79" i="74"/>
  <c r="B75" i="74"/>
  <c r="I60" i="74" l="1"/>
  <c r="S36" i="74" s="1"/>
  <c r="I64" i="82"/>
  <c r="I61" i="74"/>
  <c r="I65" i="74"/>
  <c r="H66" i="82"/>
  <c r="H71" i="82"/>
  <c r="H74" i="82" s="1"/>
  <c r="H75" i="82" s="1"/>
  <c r="H76" i="82" s="1"/>
  <c r="K52" i="74"/>
  <c r="K64" i="82" s="1"/>
  <c r="J52" i="74"/>
  <c r="J1023" i="93"/>
  <c r="K67" i="74"/>
  <c r="G50" i="86"/>
  <c r="G57" i="86" s="1"/>
  <c r="G58" i="86" s="1"/>
  <c r="G60" i="86" s="1"/>
  <c r="G64" i="86" s="1"/>
  <c r="K24" i="86" s="1"/>
  <c r="I45" i="68"/>
  <c r="I408" i="93" s="1"/>
  <c r="C88" i="74"/>
  <c r="C1044" i="93" s="1"/>
  <c r="C1045" i="93" s="1"/>
  <c r="D73" i="74"/>
  <c r="C79" i="74"/>
  <c r="C81" i="74"/>
  <c r="C75" i="74"/>
  <c r="C74" i="74"/>
  <c r="B76" i="74"/>
  <c r="K65" i="74" l="1"/>
  <c r="K61" i="74"/>
  <c r="K60" i="74"/>
  <c r="J65" i="74"/>
  <c r="J60" i="74"/>
  <c r="S37" i="74" s="1"/>
  <c r="J64" i="82"/>
  <c r="J61" i="74"/>
  <c r="I66" i="82"/>
  <c r="I71" i="82"/>
  <c r="I74" i="82" s="1"/>
  <c r="I75" i="82" s="1"/>
  <c r="I76" i="82" s="1"/>
  <c r="B80" i="74"/>
  <c r="B95" i="74" s="1"/>
  <c r="L63" i="85"/>
  <c r="L93" i="85"/>
  <c r="K1023" i="93"/>
  <c r="C85" i="90"/>
  <c r="O8" i="86"/>
  <c r="O14" i="86" s="1"/>
  <c r="O33" i="86" s="1"/>
  <c r="H63" i="86" s="1"/>
  <c r="B96" i="74"/>
  <c r="H50" i="86"/>
  <c r="H57" i="86" s="1"/>
  <c r="H58" i="86" s="1"/>
  <c r="H60" i="86" s="1"/>
  <c r="H64" i="86" s="1"/>
  <c r="K25" i="86" s="1"/>
  <c r="F408" i="93"/>
  <c r="F85" i="92"/>
  <c r="F89" i="92" s="1"/>
  <c r="F105" i="92" s="1"/>
  <c r="K71" i="82"/>
  <c r="K74" i="82" s="1"/>
  <c r="K75" i="82" s="1"/>
  <c r="K76" i="82" s="1"/>
  <c r="K66" i="82"/>
  <c r="D88" i="74"/>
  <c r="D1044" i="93" s="1"/>
  <c r="D1045" i="93" s="1"/>
  <c r="C76" i="74"/>
  <c r="C80" i="74" s="1"/>
  <c r="C95" i="74" s="1"/>
  <c r="E73" i="74"/>
  <c r="D81" i="74"/>
  <c r="D75" i="74"/>
  <c r="D79" i="74"/>
  <c r="D74" i="74"/>
  <c r="S38" i="74" l="1"/>
  <c r="J66" i="82"/>
  <c r="J71" i="82"/>
  <c r="J74" i="82" s="1"/>
  <c r="J75" i="82" s="1"/>
  <c r="J76" i="82" s="1"/>
  <c r="C82" i="74"/>
  <c r="C89" i="74" s="1"/>
  <c r="B82" i="74"/>
  <c r="B1052" i="93"/>
  <c r="C96" i="74"/>
  <c r="E88" i="74"/>
  <c r="E1044" i="93" s="1"/>
  <c r="E1045" i="93" s="1"/>
  <c r="D76" i="74"/>
  <c r="D80" i="74" s="1"/>
  <c r="D95" i="74" s="1"/>
  <c r="F73" i="74"/>
  <c r="E74" i="74"/>
  <c r="E79" i="74"/>
  <c r="E75" i="74"/>
  <c r="E81" i="74"/>
  <c r="C94" i="74" l="1"/>
  <c r="C90" i="74"/>
  <c r="B94" i="74"/>
  <c r="B90" i="74"/>
  <c r="B89" i="74"/>
  <c r="E80" i="74"/>
  <c r="E95" i="74" s="1"/>
  <c r="D82" i="74"/>
  <c r="D89" i="74" s="1"/>
  <c r="C1052" i="93"/>
  <c r="D96" i="74"/>
  <c r="F88" i="74"/>
  <c r="F1044" i="93" s="1"/>
  <c r="F1045" i="93" s="1"/>
  <c r="E76" i="74"/>
  <c r="G73" i="74"/>
  <c r="F75" i="74"/>
  <c r="F74" i="74"/>
  <c r="F81" i="74"/>
  <c r="F79" i="74"/>
  <c r="D90" i="74" l="1"/>
  <c r="D94" i="74"/>
  <c r="E82" i="74"/>
  <c r="E90" i="74" s="1"/>
  <c r="D1052" i="93"/>
  <c r="E96" i="74"/>
  <c r="G88" i="74"/>
  <c r="G1044" i="93" s="1"/>
  <c r="G1045" i="93" s="1"/>
  <c r="H73" i="74"/>
  <c r="G74" i="74"/>
  <c r="G79" i="74"/>
  <c r="G75" i="74"/>
  <c r="G81" i="74"/>
  <c r="F76" i="74"/>
  <c r="F80" i="74" s="1"/>
  <c r="F95" i="74" s="1"/>
  <c r="E89" i="74" l="1"/>
  <c r="E94" i="74"/>
  <c r="F82" i="74"/>
  <c r="F89" i="74" s="1"/>
  <c r="E1052" i="93"/>
  <c r="F96" i="74"/>
  <c r="H88" i="74"/>
  <c r="H1044" i="93" s="1"/>
  <c r="H1045" i="93" s="1"/>
  <c r="G76" i="74"/>
  <c r="I73" i="74"/>
  <c r="H81" i="74"/>
  <c r="H75" i="74"/>
  <c r="H74" i="74"/>
  <c r="H79" i="74"/>
  <c r="F94" i="74" l="1"/>
  <c r="F90" i="74"/>
  <c r="G80" i="74"/>
  <c r="G95" i="74" s="1"/>
  <c r="F1052" i="93"/>
  <c r="G96" i="74"/>
  <c r="I88" i="74"/>
  <c r="I1044" i="93" s="1"/>
  <c r="I1045" i="93" s="1"/>
  <c r="J73" i="74"/>
  <c r="I79" i="74"/>
  <c r="I74" i="74"/>
  <c r="I81" i="74"/>
  <c r="I75" i="74"/>
  <c r="H76" i="74"/>
  <c r="G82" i="74" l="1"/>
  <c r="H80" i="74"/>
  <c r="H95" i="74" s="1"/>
  <c r="G1052" i="93"/>
  <c r="H96" i="74"/>
  <c r="J88" i="74"/>
  <c r="J1044" i="93" s="1"/>
  <c r="J1045" i="93" s="1"/>
  <c r="I76" i="74"/>
  <c r="K73" i="74"/>
  <c r="J79" i="74"/>
  <c r="J81" i="74"/>
  <c r="J75" i="74"/>
  <c r="J74" i="74"/>
  <c r="I80" i="74" l="1"/>
  <c r="I95" i="74" s="1"/>
  <c r="H82" i="74"/>
  <c r="G94" i="74"/>
  <c r="G89" i="74"/>
  <c r="G90" i="74"/>
  <c r="H1052" i="93"/>
  <c r="I96" i="74"/>
  <c r="K88" i="74"/>
  <c r="K1044" i="93" s="1"/>
  <c r="K1045" i="93" s="1"/>
  <c r="J76" i="74"/>
  <c r="J80" i="74" s="1"/>
  <c r="J95" i="74" s="1"/>
  <c r="B101" i="74"/>
  <c r="K74" i="74"/>
  <c r="K75" i="74"/>
  <c r="K81" i="74"/>
  <c r="K79" i="74"/>
  <c r="H90" i="74" l="1"/>
  <c r="H94" i="74"/>
  <c r="H89" i="74"/>
  <c r="J82" i="74"/>
  <c r="J94" i="74" s="1"/>
  <c r="I82" i="74"/>
  <c r="I1052" i="93"/>
  <c r="J96" i="74"/>
  <c r="B116" i="74"/>
  <c r="B1072" i="93" s="1"/>
  <c r="B1073" i="93" s="1"/>
  <c r="K76" i="74"/>
  <c r="C101" i="74"/>
  <c r="B109" i="74"/>
  <c r="B107" i="74"/>
  <c r="B102" i="74"/>
  <c r="B103" i="74"/>
  <c r="J90" i="74" l="1"/>
  <c r="J89" i="74"/>
  <c r="I89" i="74"/>
  <c r="I94" i="74"/>
  <c r="I90" i="74"/>
  <c r="K80" i="74"/>
  <c r="K95" i="74" s="1"/>
  <c r="J1052" i="93"/>
  <c r="K96" i="74"/>
  <c r="C116" i="74"/>
  <c r="C1072" i="93" s="1"/>
  <c r="C1073" i="93" s="1"/>
  <c r="D101" i="74"/>
  <c r="C109" i="74"/>
  <c r="C107" i="74"/>
  <c r="C103" i="74"/>
  <c r="C102" i="74"/>
  <c r="B104" i="74"/>
  <c r="B108" i="74" s="1"/>
  <c r="B123" i="74" s="1"/>
  <c r="B110" i="74" l="1"/>
  <c r="B122" i="74" s="1"/>
  <c r="K82" i="74"/>
  <c r="K1052" i="93"/>
  <c r="B124" i="74"/>
  <c r="D116" i="74"/>
  <c r="D1072" i="93" s="1"/>
  <c r="D1073" i="93" s="1"/>
  <c r="C104" i="74"/>
  <c r="C108" i="74" s="1"/>
  <c r="C123" i="74" s="1"/>
  <c r="D107" i="74"/>
  <c r="D102" i="74"/>
  <c r="E101" i="74"/>
  <c r="D103" i="74"/>
  <c r="D109" i="74"/>
  <c r="B118" i="74" l="1"/>
  <c r="B117" i="74"/>
  <c r="C110" i="74"/>
  <c r="C117" i="74" s="1"/>
  <c r="K89" i="74"/>
  <c r="K94" i="74"/>
  <c r="K90" i="74"/>
  <c r="B1080" i="93"/>
  <c r="C124" i="74"/>
  <c r="E116" i="74"/>
  <c r="E1072" i="93" s="1"/>
  <c r="E1073" i="93" s="1"/>
  <c r="D104" i="74"/>
  <c r="D108" i="74" s="1"/>
  <c r="D123" i="74" s="1"/>
  <c r="F101" i="74"/>
  <c r="E102" i="74"/>
  <c r="E109" i="74"/>
  <c r="E103" i="74"/>
  <c r="E107" i="74"/>
  <c r="C122" i="74" l="1"/>
  <c r="C118" i="74"/>
  <c r="D110" i="74"/>
  <c r="D118" i="74" s="1"/>
  <c r="C1080" i="93"/>
  <c r="D124" i="74"/>
  <c r="F116" i="74"/>
  <c r="F1072" i="93" s="1"/>
  <c r="F1073" i="93" s="1"/>
  <c r="E104" i="74"/>
  <c r="F109" i="74"/>
  <c r="F103" i="74"/>
  <c r="F102" i="74"/>
  <c r="F107" i="74"/>
  <c r="D117" i="74" l="1"/>
  <c r="D122" i="74"/>
  <c r="E108" i="74"/>
  <c r="E123" i="74" s="1"/>
  <c r="D1080" i="93"/>
  <c r="E124" i="74"/>
  <c r="F104" i="74"/>
  <c r="F108" i="74" l="1"/>
  <c r="F123" i="74" s="1"/>
  <c r="E110" i="74"/>
  <c r="E1080" i="93"/>
  <c r="F124" i="74"/>
  <c r="F1080"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2" i="74" l="1"/>
  <c r="E117" i="74"/>
  <c r="E118" i="74"/>
  <c r="F110" i="74"/>
  <c r="A58" i="26"/>
  <c r="G58" i="26"/>
  <c r="A1" i="25"/>
  <c r="A50" i="25"/>
  <c r="A1" i="26"/>
  <c r="F117" i="74" l="1"/>
  <c r="F122" i="74"/>
  <c r="F118"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<sst xmlns="http://schemas.openxmlformats.org/spreadsheetml/2006/main" count="13319" uniqueCount="4875">
  <si>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</si>
  <si>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</si>
  <si>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</si>
  <si>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</si>
  <si>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</si>
  <si>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</si>
  <si>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</si>
  <si>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</si>
  <si>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</si>
  <si>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</si>
  <si>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</si>
  <si>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</si>
  <si>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</si>
  <si>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</si>
  <si>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</si>
  <si>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</si>
  <si>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</si>
  <si>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</si>
  <si>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</si>
  <si>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</si>
  <si>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</si>
  <si>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</si>
  <si>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</si>
  <si>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</si>
  <si>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</si>
  <si>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</si>
  <si>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</si>
  <si>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</si>
  <si>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</si>
  <si>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</si>
  <si>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</si>
  <si>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</si>
  <si>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</si>
  <si>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</si>
  <si>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</si>
  <si>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</si>
  <si>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</si>
  <si>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</si>
  <si>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</si>
  <si>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</si>
  <si>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</si>
  <si>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</si>
  <si>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</si>
  <si>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</si>
  <si>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</si>
  <si>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</si>
  <si>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</si>
  <si>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</si>
  <si>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</si>
  <si>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</si>
  <si>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</si>
  <si>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</si>
  <si>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</si>
  <si>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</si>
  <si>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</si>
  <si>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</si>
  <si>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</si>
  <si>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</si>
  <si>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</si>
  <si>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</si>
  <si>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</si>
  <si>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</si>
  <si>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</si>
  <si>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</si>
  <si>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</si>
  <si>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</si>
  <si>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</si>
  <si>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</si>
  <si>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</si>
  <si>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</si>
  <si>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</si>
  <si>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</si>
  <si>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</si>
  <si>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</si>
  <si>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</si>
  <si>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</si>
  <si>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</si>
  <si>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</si>
  <si>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</si>
  <si>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</si>
  <si>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</si>
  <si>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</si>
  <si>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</si>
  <si>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</si>
  <si>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</si>
  <si>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</si>
  <si>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</si>
  <si>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</si>
  <si>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</si>
  <si>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</si>
  <si>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</si>
  <si>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</si>
  <si>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</si>
  <si>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</si>
  <si>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</si>
  <si>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</si>
  <si>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</si>
  <si>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</si>
  <si>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</si>
  <si>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</si>
  <si>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</si>
  <si>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</si>
  <si>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</si>
  <si>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</si>
  <si>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</si>
  <si>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</si>
  <si>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</si>
  <si>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</si>
  <si>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</si>
  <si>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</si>
  <si>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</si>
  <si>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</si>
  <si>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</si>
  <si>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</si>
  <si>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</si>
  <si>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</si>
  <si>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</si>
  <si>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</si>
  <si>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</si>
  <si>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</si>
  <si>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</si>
  <si>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</si>
  <si>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</si>
  <si>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</si>
  <si>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</si>
  <si>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</si>
  <si>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</si>
  <si>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</si>
  <si>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</si>
  <si>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</si>
  <si>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</si>
  <si>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</si>
  <si>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</si>
  <si>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</si>
  <si>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</si>
  <si>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</si>
  <si>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</si>
  <si>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</si>
  <si>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</si>
  <si>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</si>
  <si>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</si>
  <si>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</si>
  <si>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</si>
  <si>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</si>
  <si>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</si>
  <si>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</si>
  <si>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</si>
  <si>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</si>
  <si>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</si>
  <si>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</si>
  <si>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</si>
  <si>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</si>
  <si>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</si>
  <si>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</si>
  <si>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</si>
  <si>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</si>
  <si>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</si>
  <si>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</si>
  <si>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</si>
  <si>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</si>
  <si>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</si>
  <si>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</si>
  <si>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</si>
  <si>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</si>
  <si>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</si>
  <si>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</si>
  <si>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</si>
  <si>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</si>
  <si>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</si>
  <si>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</si>
  <si>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</si>
  <si>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</si>
  <si>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</si>
  <si>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</si>
  <si>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</si>
  <si>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</si>
  <si>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</si>
  <si>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</si>
  <si>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</si>
  <si>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</si>
  <si>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</si>
  <si>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</si>
  <si>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</si>
  <si>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</si>
  <si>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</si>
  <si>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</si>
  <si>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</si>
  <si>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</si>
  <si>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</si>
  <si>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</si>
  <si>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</si>
  <si>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</si>
  <si>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</si>
  <si>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</si>
  <si>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</si>
  <si>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</si>
  <si>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</si>
  <si>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</si>
  <si>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</si>
  <si>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</si>
  <si>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</si>
  <si>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</si>
  <si>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</si>
  <si>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</si>
  <si>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</si>
  <si>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</si>
  <si>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</si>
  <si>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</si>
  <si>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</si>
  <si>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</si>
  <si>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</si>
  <si>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</si>
  <si>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</si>
  <si>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</si>
  <si>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</si>
  <si>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</si>
  <si>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</si>
  <si>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</si>
  <si>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</si>
  <si>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</si>
  <si>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</si>
  <si>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</si>
  <si>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</si>
  <si>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</si>
  <si>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</si>
  <si>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</si>
  <si>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</si>
  <si>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</si>
  <si>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</si>
  <si>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</si>
  <si>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</si>
  <si>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</si>
  <si>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</si>
  <si>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</si>
  <si>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</si>
  <si>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</si>
  <si>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</si>
  <si>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</si>
  <si>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</si>
  <si>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</si>
  <si>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</si>
  <si>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</si>
  <si>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</si>
  <si>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</si>
  <si>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</si>
  <si>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</si>
  <si>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</si>
  <si>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</si>
  <si>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</si>
  <si>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</si>
  <si>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</si>
  <si>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</si>
  <si>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</si>
  <si>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</si>
  <si>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</si>
  <si>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</si>
  <si>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</si>
  <si>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</si>
  <si>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</si>
  <si>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</si>
  <si>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</si>
  <si>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</si>
  <si>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</si>
  <si>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</si>
  <si>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</si>
  <si>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</si>
  <si>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</si>
  <si>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</si>
  <si>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</si>
  <si>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</si>
  <si>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</si>
  <si>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</si>
  <si>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</si>
  <si>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</si>
  <si>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</si>
  <si>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</si>
  <si>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</si>
  <si>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</si>
  <si>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</si>
  <si>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</si>
  <si>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</si>
  <si>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</si>
  <si>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</si>
  <si>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</si>
  <si>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</si>
  <si>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</si>
  <si>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</si>
  <si>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</si>
  <si>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</si>
  <si>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</si>
  <si>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</si>
  <si>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</si>
  <si>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</si>
  <si>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</si>
  <si>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</si>
  <si>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</si>
  <si>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</si>
  <si>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</si>
  <si>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</si>
  <si>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</si>
  <si>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</si>
  <si>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</si>
  <si>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</si>
  <si>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</si>
  <si>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</si>
  <si>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</si>
  <si>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</si>
  <si>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</si>
  <si>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</si>
  <si>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</si>
  <si>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</si>
  <si>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</si>
  <si>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</si>
  <si>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</si>
  <si>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</si>
  <si>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</si>
  <si>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</si>
  <si>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</si>
  <si>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</si>
  <si>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</si>
  <si>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</si>
  <si>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</si>
  <si>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</si>
  <si>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</si>
  <si>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</si>
  <si>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</si>
  <si>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</si>
  <si>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</si>
  <si>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</si>
  <si>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</si>
  <si>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</si>
  <si>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</si>
  <si>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</si>
  <si>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</si>
  <si>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</si>
  <si>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</si>
  <si>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</si>
  <si>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</si>
  <si>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</si>
  <si>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</si>
  <si>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</si>
  <si>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</si>
  <si>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</si>
  <si>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</si>
  <si>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</si>
  <si>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</si>
  <si>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</si>
  <si>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</si>
  <si>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</si>
  <si>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</si>
  <si>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</si>
  <si>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</si>
  <si>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</si>
  <si>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</si>
  <si>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</si>
  <si>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</si>
  <si>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</si>
  <si>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</si>
  <si>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</si>
  <si>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</si>
  <si>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</si>
  <si>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</si>
  <si>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</si>
  <si>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</si>
  <si>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</si>
  <si>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</si>
  <si>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</si>
  <si>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</si>
  <si>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</si>
  <si>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</si>
  <si>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</si>
  <si>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</si>
  <si>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</si>
  <si>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</si>
  <si>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</si>
  <si>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</si>
  <si>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</si>
  <si>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</si>
  <si>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</si>
  <si>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</si>
  <si>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</si>
  <si>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</si>
  <si>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</si>
  <si>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</si>
  <si>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</si>
  <si>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</si>
  <si>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</si>
  <si>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</si>
  <si>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</si>
  <si>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</si>
  <si>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</si>
  <si>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</si>
  <si>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</si>
  <si>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</si>
  <si>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</si>
  <si>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</si>
  <si>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</si>
  <si>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</si>
  <si>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</si>
  <si>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</si>
  <si>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</si>
  <si>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</si>
  <si>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</si>
  <si>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</si>
  <si>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</si>
  <si>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</si>
  <si>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</si>
  <si>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</si>
  <si>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</si>
  <si>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</si>
  <si>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</si>
  <si>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</si>
  <si>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</si>
  <si>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</si>
  <si>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</si>
  <si>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</si>
  <si>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</si>
  <si>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</si>
  <si>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</si>
  <si>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</si>
  <si>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</si>
  <si>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</si>
  <si>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</si>
  <si>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</si>
  <si>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</si>
  <si>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</si>
  <si>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</si>
  <si>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</si>
  <si>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</si>
  <si>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</si>
  <si>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</si>
  <si>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</si>
  <si>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</si>
  <si>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</si>
  <si>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</si>
  <si>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</si>
  <si>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</si>
  <si>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</si>
  <si>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</si>
  <si>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</si>
  <si>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</si>
  <si>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</si>
  <si>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</si>
  <si>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</si>
  <si>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</si>
  <si>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</si>
  <si>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</si>
  <si>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</si>
  <si>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</si>
  <si>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</si>
  <si>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</si>
  <si>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</si>
  <si>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</si>
  <si>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</si>
  <si>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</si>
  <si>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</si>
  <si>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</si>
  <si>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</si>
  <si>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</si>
  <si>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</si>
  <si>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</si>
  <si>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</si>
  <si>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</si>
  <si>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</si>
  <si>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</si>
  <si>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</si>
  <si>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</si>
  <si>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</si>
  <si>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</si>
  <si>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</si>
  <si>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</si>
  <si>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</si>
  <si>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</si>
  <si>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</si>
  <si>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</si>
  <si>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</si>
  <si>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</si>
  <si>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</si>
  <si>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</si>
  <si>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</si>
  <si>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</si>
  <si>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</si>
  <si>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</si>
  <si>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</si>
  <si>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</si>
  <si>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</si>
  <si>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</si>
  <si>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</si>
  <si>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</si>
  <si>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</si>
  <si>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</si>
  <si>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</si>
  <si>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</si>
  <si>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</si>
  <si>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</si>
  <si>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</si>
  <si>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</si>
  <si>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</si>
  <si>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</si>
  <si>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</si>
  <si>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</si>
  <si>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</si>
  <si>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</si>
  <si>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</si>
  <si>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</si>
  <si>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</si>
  <si>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</si>
  <si>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</si>
  <si>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</si>
  <si>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</si>
  <si>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</si>
  <si>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</si>
  <si>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</si>
  <si>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</si>
  <si>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</si>
  <si>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</si>
  <si>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</si>
  <si>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</si>
  <si>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</si>
  <si>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</si>
  <si>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</si>
  <si>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</si>
  <si>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</si>
  <si>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</si>
  <si>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</si>
  <si>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</si>
  <si>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</si>
  <si>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</si>
  <si>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</si>
  <si>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</si>
  <si>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</si>
  <si>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</si>
  <si>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</si>
  <si>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</si>
  <si>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</si>
  <si>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</si>
  <si>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</si>
  <si>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</si>
  <si>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</si>
  <si>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</si>
  <si>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</si>
  <si>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</si>
  <si>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</si>
  <si>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</si>
  <si>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</si>
  <si>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</si>
  <si>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</si>
  <si>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</si>
  <si>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</si>
  <si>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</si>
  <si>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</si>
  <si>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</si>
  <si>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</si>
  <si>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</si>
  <si>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</si>
  <si>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</si>
  <si>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</si>
  <si>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</si>
  <si>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</si>
  <si>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</si>
  <si>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</si>
  <si>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</si>
  <si>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</si>
  <si>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</si>
  <si>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</si>
  <si>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</si>
  <si>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</si>
  <si>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</si>
  <si>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</si>
  <si>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</si>
  <si>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</si>
  <si>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</si>
  <si>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</si>
  <si>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</si>
  <si>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</si>
  <si>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</si>
  <si>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</si>
  <si>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</si>
  <si>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</si>
  <si>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</si>
  <si>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</si>
  <si>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</si>
  <si>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</si>
  <si>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</si>
  <si>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</si>
  <si>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</si>
  <si>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</si>
  <si>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</si>
  <si>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</si>
  <si>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</si>
  <si>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</si>
  <si>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</si>
  <si>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</si>
  <si>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</si>
  <si>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</si>
  <si>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</si>
  <si>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</si>
  <si>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</si>
  <si>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</si>
  <si>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</si>
  <si>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</si>
  <si>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</si>
  <si>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</si>
  <si>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</si>
  <si>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</si>
  <si>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</si>
  <si>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</si>
  <si>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</si>
  <si>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</si>
  <si>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</si>
  <si>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</si>
  <si>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</si>
  <si>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</si>
  <si>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</si>
  <si>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</si>
  <si>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</si>
  <si>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</si>
  <si>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</si>
  <si>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</si>
  <si>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</si>
  <si>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</si>
  <si>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</si>
  <si>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</si>
  <si>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</si>
  <si>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</si>
  <si>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</si>
  <si>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</si>
  <si>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</si>
  <si>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</si>
  <si>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</si>
  <si>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</si>
  <si>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</si>
  <si>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</si>
  <si>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</si>
  <si>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</si>
  <si>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</si>
  <si>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</si>
  <si>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</si>
  <si>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</si>
  <si>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</si>
  <si>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</si>
  <si>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</si>
  <si>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</si>
  <si>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</si>
  <si>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</si>
  <si>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</si>
  <si>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</si>
  <si>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</si>
  <si>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</si>
  <si>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</si>
  <si>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</si>
  <si>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</si>
  <si>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</si>
  <si>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</si>
  <si>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</si>
  <si>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</si>
  <si>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</si>
  <si>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</si>
  <si>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</si>
  <si>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</si>
  <si>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</si>
  <si>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</si>
  <si>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</si>
  <si>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</si>
  <si>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</si>
  <si>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</si>
  <si>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</si>
  <si>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</si>
  <si>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</si>
  <si>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</si>
  <si>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</si>
  <si>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</si>
  <si>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</si>
  <si>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</si>
  <si>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</si>
  <si>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</si>
  <si>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</si>
  <si>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</si>
  <si>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</si>
  <si>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</si>
  <si>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</si>
  <si>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</si>
  <si>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</si>
  <si>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</si>
  <si>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</si>
  <si>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</si>
  <si>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</si>
  <si>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</si>
  <si>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</si>
  <si>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</si>
  <si>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</si>
  <si>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</si>
  <si>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</si>
  <si>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</si>
  <si>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</si>
  <si>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</si>
  <si>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</si>
  <si>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</si>
  <si>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</si>
  <si>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</si>
  <si>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</si>
  <si>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</si>
  <si>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</si>
  <si>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</si>
  <si>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</si>
  <si>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</si>
  <si>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</si>
  <si>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</si>
  <si>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</si>
  <si>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</si>
  <si>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</si>
  <si>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</si>
  <si>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</si>
  <si>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</si>
  <si>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</si>
  <si>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</si>
  <si>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</si>
  <si>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</si>
  <si>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</si>
  <si>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</si>
  <si>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</si>
  <si>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</si>
  <si>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</si>
  <si>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</si>
  <si>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</si>
  <si>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</si>
  <si>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</si>
  <si>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</si>
  <si>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</si>
  <si>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</si>
  <si>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</si>
  <si>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</si>
  <si>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</si>
  <si>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</si>
  <si>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</si>
  <si>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</si>
  <si>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</si>
  <si>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</si>
  <si>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</si>
  <si>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</si>
  <si>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</si>
  <si>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</si>
  <si>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</si>
  <si>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</si>
  <si>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</si>
  <si>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</si>
  <si>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</si>
  <si>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</si>
  <si>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</si>
  <si>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</si>
  <si>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</si>
  <si>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</si>
  <si>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</si>
  <si>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</si>
  <si>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</si>
  <si>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</si>
  <si>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</si>
  <si>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</si>
  <si>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</si>
  <si>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</si>
  <si>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</si>
  <si>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</si>
  <si>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</si>
  <si>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</si>
  <si>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</si>
  <si>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</si>
  <si>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</si>
  <si>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</si>
  <si>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</si>
  <si>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</si>
  <si>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</si>
  <si>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</si>
  <si>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</si>
  <si>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</si>
  <si>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</si>
  <si>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</si>
  <si>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</si>
  <si>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</si>
  <si>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</si>
  <si>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</si>
  <si>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</si>
  <si>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</si>
  <si>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</si>
  <si>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</si>
  <si>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</si>
  <si>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</si>
  <si>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</si>
  <si>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</si>
  <si>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</si>
  <si>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</si>
  <si>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</si>
  <si>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</si>
  <si>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</si>
  <si>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</si>
  <si>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</si>
  <si>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</si>
  <si>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</si>
  <si>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</si>
  <si>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</si>
  <si>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</si>
  <si>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</si>
  <si>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</si>
  <si>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</si>
  <si>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</si>
  <si>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</si>
  <si>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</si>
  <si>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</si>
  <si>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</si>
  <si>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</si>
  <si>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</si>
  <si>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</si>
  <si>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</si>
  <si>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</si>
  <si>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</si>
  <si>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</si>
  <si>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</si>
  <si>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</si>
  <si>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</si>
  <si>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</si>
  <si>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</si>
  <si>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</si>
  <si>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</si>
  <si>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</si>
  <si>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</si>
  <si>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</si>
  <si>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</si>
  <si>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</si>
  <si>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</si>
  <si>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</si>
  <si>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</si>
  <si>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</si>
  <si>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</si>
  <si>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</si>
  <si>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</si>
  <si>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</si>
  <si>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</si>
  <si>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</si>
  <si>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</si>
  <si>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</si>
  <si>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</si>
  <si>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</si>
  <si>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</si>
  <si>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</si>
  <si>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</si>
  <si>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</si>
  <si>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</si>
  <si>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</si>
  <si>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</si>
  <si>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</si>
  <si>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</si>
  <si>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</si>
  <si>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</si>
  <si>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</si>
  <si>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</si>
  <si>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</si>
  <si>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</si>
  <si>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</si>
  <si>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</si>
  <si>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</si>
  <si>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</si>
  <si>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</si>
  <si>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</si>
  <si>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</si>
  <si>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</si>
  <si>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</si>
  <si>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</si>
  <si>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</si>
  <si>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</si>
  <si>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</si>
  <si>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</si>
  <si>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</si>
  <si>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</si>
  <si>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</si>
  <si>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</si>
  <si>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</si>
  <si>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</si>
  <si>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</si>
  <si>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</si>
  <si>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</si>
  <si>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</si>
  <si>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</si>
  <si>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</si>
  <si>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</si>
  <si>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</si>
  <si>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</si>
  <si>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</si>
  <si>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</si>
  <si>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</si>
  <si>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</si>
  <si>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</si>
  <si>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</si>
  <si>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</si>
  <si>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</si>
  <si>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</si>
  <si>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</si>
  <si>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</si>
  <si>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</si>
  <si>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</si>
  <si>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</si>
  <si>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</si>
  <si>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</si>
  <si>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</si>
  <si>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</si>
  <si>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</si>
  <si>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</si>
  <si>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</si>
  <si>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</si>
  <si>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</si>
  <si>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</si>
  <si>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</si>
  <si>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</si>
  <si>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</si>
  <si>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</si>
  <si>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</si>
  <si>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</si>
  <si>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</si>
  <si>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</si>
  <si>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</si>
  <si>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</si>
  <si>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</si>
  <si>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</si>
  <si>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</si>
  <si>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</si>
  <si>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</si>
  <si>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</si>
  <si>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</si>
  <si>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</si>
  <si>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</si>
  <si>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</si>
  <si>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</si>
  <si>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</si>
  <si>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</si>
  <si>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</si>
  <si>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</si>
  <si>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</si>
  <si>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</si>
  <si>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</si>
  <si>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</si>
  <si>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</si>
  <si>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</si>
  <si>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</si>
  <si>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</si>
  <si>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</si>
  <si>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</si>
  <si>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</si>
  <si>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</si>
  <si>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</si>
  <si>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</si>
  <si>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</si>
  <si>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</si>
  <si>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</si>
  <si>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</si>
  <si>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</si>
  <si>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</si>
  <si>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</si>
  <si>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</si>
  <si>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</si>
  <si>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</si>
  <si>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</si>
  <si>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</si>
  <si>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</si>
  <si>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</si>
  <si>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</si>
  <si>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</si>
  <si>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</si>
  <si>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</si>
  <si>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</si>
  <si>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</si>
  <si>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</si>
  <si>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</si>
  <si>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</si>
  <si>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</si>
  <si>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</si>
  <si>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</si>
  <si>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</si>
  <si>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</si>
  <si>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</si>
  <si>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</si>
  <si>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</si>
  <si>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</si>
  <si>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</si>
  <si>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</si>
  <si>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</si>
  <si>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</si>
  <si>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</si>
  <si>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</si>
  <si>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</si>
  <si>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</si>
  <si>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</si>
  <si>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</si>
  <si>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</si>
  <si>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</si>
  <si>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</si>
  <si>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</si>
  <si>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</si>
  <si>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</si>
  <si>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</si>
  <si>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</si>
  <si>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</si>
  <si>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</si>
  <si>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</si>
  <si>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</si>
  <si>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</si>
  <si>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</si>
  <si>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</si>
  <si>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</si>
  <si>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</si>
  <si>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</si>
  <si>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</si>
  <si>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</si>
  <si>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</si>
  <si>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</si>
  <si>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</si>
  <si>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</si>
  <si>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</si>
  <si>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</si>
  <si>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</si>
  <si>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</si>
  <si>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</si>
  <si>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</si>
  <si>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</si>
  <si>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</si>
  <si>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</si>
  <si>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</si>
  <si>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</si>
  <si>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</si>
  <si>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</si>
  <si>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</si>
  <si>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</si>
  <si>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</si>
  <si>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</si>
  <si>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</si>
  <si>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</si>
  <si>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</si>
  <si>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</si>
  <si>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</si>
  <si>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</si>
  <si>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</si>
  <si>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</si>
  <si>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</si>
  <si>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</si>
  <si>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</si>
  <si>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</si>
  <si>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</si>
  <si>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</si>
  <si>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</si>
  <si>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</si>
  <si>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</si>
  <si>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</si>
  <si>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</si>
  <si>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</si>
  <si>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</si>
  <si>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</si>
  <si>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</si>
  <si>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</si>
  <si>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</si>
  <si>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</si>
  <si>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</si>
  <si>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</si>
  <si>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</si>
  <si>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</si>
  <si>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</si>
  <si>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</si>
  <si>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</si>
  <si>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</si>
  <si>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</si>
  <si>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</si>
  <si>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</si>
  <si>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</si>
  <si>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</si>
  <si>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</si>
  <si>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</si>
  <si>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</si>
  <si>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</si>
  <si>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</si>
  <si>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</si>
  <si>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</si>
  <si>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</si>
  <si>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</si>
  <si>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</si>
  <si>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</si>
  <si>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</si>
  <si>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</si>
  <si>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</si>
  <si>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</si>
  <si>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</si>
  <si>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</si>
  <si>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</si>
  <si>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</si>
  <si>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</si>
  <si>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</si>
  <si>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</si>
  <si>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</si>
  <si>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</si>
  <si>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</si>
  <si>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</si>
  <si>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</si>
  <si>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</si>
  <si>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</si>
  <si>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</si>
  <si>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</si>
  <si>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</si>
  <si>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</si>
  <si>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</si>
  <si>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</si>
  <si>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</si>
  <si>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</si>
  <si>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</si>
  <si>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</si>
  <si>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</si>
  <si>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</si>
  <si>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</si>
  <si>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</si>
  <si>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</si>
  <si>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</si>
  <si>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</si>
  <si>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</si>
  <si>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</si>
  <si>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</si>
  <si>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</si>
  <si>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</si>
  <si>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</si>
  <si>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</si>
  <si>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</si>
  <si>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</si>
  <si>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</si>
  <si>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</si>
  <si>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</si>
  <si>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</si>
  <si>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</si>
  <si>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</si>
  <si>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</si>
  <si>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</si>
  <si>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</si>
  <si>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</si>
  <si>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</si>
  <si>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</si>
  <si>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</si>
  <si>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</si>
  <si>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</si>
  <si>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</si>
  <si>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</si>
  <si>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</si>
  <si>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</si>
  <si>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</si>
  <si>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</si>
  <si>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</si>
  <si>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</si>
  <si>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</si>
  <si>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</si>
  <si>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</si>
  <si>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</si>
  <si>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</si>
  <si>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</si>
  <si>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</si>
  <si>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</si>
  <si>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</si>
  <si>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</si>
  <si>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</si>
  <si>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</si>
  <si>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</si>
  <si>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</si>
  <si>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</si>
  <si>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</si>
  <si>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</si>
  <si>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</si>
  <si>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</si>
  <si>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</si>
  <si>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</si>
  <si>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</si>
  <si>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</si>
  <si>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</si>
  <si>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</si>
  <si>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</si>
  <si>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</si>
  <si>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</si>
  <si>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</si>
  <si>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</si>
  <si>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</si>
  <si>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</si>
  <si>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</si>
  <si>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</si>
  <si>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</si>
  <si>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</si>
  <si>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</si>
  <si>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</si>
  <si>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</si>
  <si>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</si>
  <si>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</si>
  <si>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</si>
  <si>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</si>
  <si>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</si>
  <si>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</si>
  <si>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</si>
  <si>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</si>
  <si>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</si>
  <si>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</si>
  <si>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</si>
  <si>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</si>
  <si>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</si>
  <si>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</si>
  <si>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</si>
  <si>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</si>
  <si>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</si>
  <si>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</si>
  <si>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</si>
  <si>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</si>
  <si>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</si>
  <si>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</si>
  <si>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</si>
  <si>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</si>
  <si>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</si>
  <si>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</si>
  <si>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</si>
  <si>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</si>
  <si>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</si>
  <si>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</si>
  <si>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</si>
  <si>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</si>
  <si>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</si>
  <si>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</si>
  <si>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</si>
  <si>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</si>
  <si>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</si>
  <si>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</si>
  <si>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</si>
  <si>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</si>
  <si>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</si>
  <si>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</si>
  <si>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</si>
  <si>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</si>
  <si>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</si>
  <si>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</si>
  <si>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</si>
  <si>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</si>
  <si>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</si>
  <si>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</si>
  <si>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</si>
  <si>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</si>
  <si>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</si>
  <si>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</si>
  <si>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</si>
  <si>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</si>
  <si>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</si>
  <si>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</si>
  <si>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</si>
  <si>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</si>
  <si>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</si>
  <si>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</si>
  <si>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</si>
  <si>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</si>
  <si>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</si>
  <si>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</si>
  <si>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</si>
  <si>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</si>
  <si>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</si>
  <si>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</si>
  <si>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</si>
  <si>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</si>
  <si>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</si>
  <si>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</si>
  <si>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</si>
  <si>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</si>
  <si>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</si>
  <si>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</si>
  <si>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</si>
  <si>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</si>
  <si>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</si>
  <si>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</si>
  <si>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</si>
  <si>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</si>
  <si>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</si>
  <si>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</si>
  <si>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</si>
  <si>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</si>
  <si>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</si>
  <si>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</si>
  <si>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</si>
  <si>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</si>
  <si>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</si>
  <si>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</si>
  <si>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</si>
  <si>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</si>
  <si>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</si>
  <si>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</si>
  <si>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</si>
  <si>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</si>
  <si>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</si>
  <si>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</si>
  <si>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</si>
  <si>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</si>
  <si>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</si>
  <si>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</si>
  <si>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</si>
  <si>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</si>
  <si>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</si>
  <si>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</si>
  <si>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</si>
  <si>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</si>
  <si>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</si>
  <si>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</si>
  <si>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</si>
  <si>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</si>
  <si>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</si>
  <si>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</si>
  <si>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</si>
  <si>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</si>
  <si>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</si>
  <si>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</si>
  <si>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</si>
  <si>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</si>
  <si>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</si>
  <si>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</si>
  <si>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</si>
  <si>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</si>
  <si>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</si>
  <si>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</si>
  <si>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</si>
  <si>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</si>
  <si>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</si>
  <si>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</si>
  <si>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</si>
  <si>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</si>
  <si>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</si>
  <si>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</si>
  <si>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</si>
  <si>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</si>
  <si>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</si>
  <si>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</si>
  <si>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</si>
  <si>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</si>
  <si>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</si>
  <si>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</si>
  <si>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</si>
  <si>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</si>
  <si>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</si>
  <si>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</si>
  <si>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</si>
  <si>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</si>
  <si>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</si>
  <si>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</si>
  <si>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</si>
  <si>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</si>
  <si>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</si>
  <si>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</si>
  <si>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</si>
  <si>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</si>
  <si>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</si>
  <si>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</si>
  <si>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</si>
  <si>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</si>
  <si>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</si>
  <si>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</si>
  <si>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</si>
  <si>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</si>
  <si>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</si>
  <si>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</si>
  <si>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</si>
  <si>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</si>
  <si>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</si>
  <si>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</si>
  <si>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</si>
  <si>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</si>
  <si>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</si>
  <si>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</si>
  <si>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</si>
  <si>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</si>
  <si>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</si>
  <si>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</si>
  <si>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</si>
  <si>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</si>
  <si>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</si>
  <si>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</si>
  <si>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</si>
  <si>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</si>
  <si>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</si>
  <si>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</si>
  <si>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</si>
  <si>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</si>
  <si>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</si>
  <si>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</si>
  <si>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</si>
  <si>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</si>
  <si>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</si>
  <si>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</si>
  <si>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</si>
  <si>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</si>
  <si>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</si>
  <si>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</si>
  <si>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</si>
  <si>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</si>
  <si>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</si>
  <si>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</si>
  <si>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</si>
  <si>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</si>
  <si>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</si>
  <si>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</si>
  <si>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</si>
  <si>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</si>
  <si>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</si>
  <si>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</si>
  <si>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</si>
  <si>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</si>
  <si>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</si>
  <si>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</si>
  <si>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</si>
  <si>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</si>
  <si>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</si>
  <si>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</si>
  <si>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</si>
  <si>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</si>
  <si>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</si>
  <si>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</si>
  <si>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</si>
  <si>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</si>
  <si>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</si>
  <si>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</si>
  <si>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</si>
  <si>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</si>
  <si>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</si>
  <si>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</si>
  <si>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</si>
  <si>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</si>
  <si>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</si>
  <si>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</si>
  <si>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</si>
  <si>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</si>
  <si>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</si>
  <si>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</si>
  <si>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</si>
  <si>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</si>
  <si>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</si>
  <si>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</si>
  <si>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</si>
  <si>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</si>
  <si>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</si>
  <si>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</si>
  <si>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</si>
  <si>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</si>
  <si>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</si>
  <si>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</si>
  <si>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</si>
  <si>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</si>
  <si>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</si>
  <si>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</si>
  <si>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</si>
  <si>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</si>
  <si>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</si>
  <si>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</si>
  <si>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</si>
  <si>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</si>
  <si>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</si>
  <si>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</si>
  <si>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</si>
  <si>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</si>
  <si>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</si>
  <si>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</si>
  <si>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</si>
  <si>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</si>
  <si>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</si>
  <si>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</si>
  <si>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</si>
  <si>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</si>
  <si>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</si>
  <si>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</si>
  <si>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</si>
  <si>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</si>
  <si>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</si>
  <si>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</si>
  <si>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</si>
  <si>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</si>
  <si>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</si>
  <si>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</si>
  <si>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</si>
  <si>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</si>
  <si>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</si>
  <si>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</si>
  <si>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</si>
  <si>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</si>
  <si>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</si>
  <si>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</si>
  <si>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</si>
  <si>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</si>
  <si>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</si>
  <si>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</si>
  <si>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</si>
  <si>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</si>
  <si>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</si>
  <si>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</si>
  <si>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</si>
  <si>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</si>
  <si>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</si>
  <si>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</si>
  <si>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</si>
  <si>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</si>
  <si>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</si>
  <si>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</si>
  <si>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</si>
  <si>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</si>
  <si>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</si>
  <si>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</si>
  <si>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</si>
  <si>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</si>
  <si>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</si>
  <si>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</si>
  <si>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</si>
  <si>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</si>
  <si>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</si>
  <si>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</si>
  <si>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</si>
  <si>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</si>
  <si>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</si>
  <si>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</si>
  <si>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</si>
  <si>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</si>
  <si>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</si>
  <si>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</si>
  <si>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</si>
  <si>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</si>
  <si>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</si>
  <si>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</si>
  <si>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</si>
  <si>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</si>
  <si>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</si>
  <si>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</si>
  <si>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</si>
  <si>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</si>
  <si>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</si>
  <si>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</si>
  <si>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</si>
  <si>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</si>
  <si>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</si>
  <si>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</si>
  <si>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</si>
  <si>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</si>
  <si>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</si>
  <si>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</si>
  <si>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</si>
  <si>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</si>
  <si>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</si>
  <si>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</si>
  <si>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</si>
  <si>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</si>
  <si>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</si>
  <si>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</si>
  <si>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</si>
  <si>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</si>
  <si>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</si>
  <si>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</si>
  <si>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</si>
  <si>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</si>
  <si>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</si>
  <si>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</si>
  <si>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</si>
  <si>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</si>
  <si>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</si>
  <si>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</si>
  <si>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</si>
  <si>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</si>
  <si>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</si>
  <si>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</si>
  <si>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</si>
  <si>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</si>
  <si>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</si>
  <si>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</si>
  <si>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</si>
  <si>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</si>
  <si>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</si>
  <si>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</si>
  <si>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</si>
  <si>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</si>
  <si>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</si>
  <si>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</si>
  <si>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</si>
  <si>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</si>
  <si>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</si>
  <si>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</si>
  <si>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</si>
  <si>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</si>
  <si>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</si>
  <si>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</si>
  <si>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</si>
  <si>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</si>
  <si>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</si>
  <si>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</si>
  <si>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</si>
  <si>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</si>
  <si>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</si>
  <si>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</si>
  <si>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</si>
  <si>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</si>
  <si>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</si>
  <si>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</si>
  <si>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</si>
  <si>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</si>
  <si>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</si>
  <si>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</si>
  <si>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</si>
  <si>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</si>
  <si>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</si>
  <si>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</si>
  <si>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</si>
  <si>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</si>
  <si>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</si>
  <si>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</si>
  <si>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</si>
  <si>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</si>
  <si>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</si>
  <si>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</si>
  <si>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</si>
  <si>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</si>
  <si>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</si>
  <si>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</si>
  <si>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</si>
  <si>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</si>
  <si>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</si>
  <si>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</si>
  <si>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</si>
  <si>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</si>
  <si>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</si>
  <si>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</si>
  <si>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</si>
  <si>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</si>
  <si>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</si>
  <si>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</si>
  <si>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</si>
  <si>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</si>
  <si>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</si>
  <si>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</si>
  <si>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</si>
  <si>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</si>
  <si>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</si>
  <si>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</si>
  <si>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</si>
  <si>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</si>
  <si>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</si>
  <si>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</si>
  <si>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</si>
  <si>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</si>
  <si>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</si>
  <si>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</si>
  <si>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</si>
  <si>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</si>
  <si>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</si>
  <si>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</si>
  <si>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</si>
  <si>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</si>
  <si>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</si>
  <si>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</si>
  <si>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</si>
  <si>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</si>
  <si>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</si>
  <si>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</si>
  <si>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</si>
  <si>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</si>
  <si>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</si>
  <si>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</si>
  <si>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</si>
  <si>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</si>
  <si>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</si>
  <si>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</si>
  <si>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</si>
  <si>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</si>
  <si>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</si>
  <si>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</si>
  <si>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</si>
  <si>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</si>
  <si>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</si>
  <si>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</si>
  <si>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</si>
  <si>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</si>
  <si>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</si>
  <si>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</si>
  <si>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</si>
  <si>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</si>
  <si>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</si>
  <si>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</si>
  <si>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</si>
  <si>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</si>
  <si>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</si>
  <si>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</si>
  <si>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</si>
  <si>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</si>
  <si>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</si>
  <si>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</si>
  <si>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</si>
  <si>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</si>
  <si>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</si>
  <si>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</si>
  <si>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</si>
  <si>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</si>
  <si>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</si>
  <si>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</si>
  <si>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</si>
  <si>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</si>
  <si>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</si>
  <si>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</si>
  <si>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</si>
  <si>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</si>
  <si>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</si>
  <si>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</si>
  <si>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</si>
  <si>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</si>
  <si>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</si>
  <si>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</si>
  <si>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</si>
  <si>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</si>
  <si>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</si>
  <si>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</si>
  <si>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</si>
  <si>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</si>
  <si>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</si>
  <si>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</si>
  <si>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</si>
  <si>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</si>
  <si>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</si>
  <si>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</si>
  <si>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</si>
  <si>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</si>
  <si>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</si>
  <si>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</si>
  <si>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</si>
  <si>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</si>
  <si>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</si>
  <si>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</si>
  <si>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</si>
  <si>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</si>
  <si>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</si>
  <si>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</si>
  <si>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</si>
  <si>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</si>
  <si>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</si>
  <si>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</si>
  <si>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</si>
  <si>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</si>
  <si>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</si>
  <si>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</si>
  <si>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</si>
  <si>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</si>
  <si>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</si>
  <si>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</si>
  <si>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</si>
  <si>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</si>
  <si>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</si>
  <si>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</si>
  <si>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</si>
  <si>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</si>
  <si>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</si>
  <si>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</si>
  <si>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</si>
  <si>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</si>
  <si>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</si>
  <si>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</si>
  <si>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</si>
  <si>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</si>
  <si>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</si>
  <si>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</si>
  <si>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</si>
  <si>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</si>
  <si>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</si>
  <si>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</si>
  <si>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</si>
  <si>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</si>
  <si>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</si>
  <si>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</si>
  <si>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</si>
  <si>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</si>
  <si>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</si>
  <si>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</si>
  <si>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</si>
  <si>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</si>
  <si>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</si>
  <si>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</si>
  <si>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</si>
  <si>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</si>
  <si>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</si>
  <si>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</si>
  <si>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</si>
  <si>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</si>
  <si>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</si>
  <si>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</si>
  <si>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</si>
  <si>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</si>
  <si>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</si>
  <si>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</si>
  <si>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</si>
  <si>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</si>
  <si>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</si>
  <si>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</si>
  <si>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</si>
  <si>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</si>
  <si>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</si>
  <si>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</si>
  <si>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</si>
  <si>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</si>
  <si>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</si>
  <si>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</si>
  <si>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</si>
  <si>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</si>
  <si>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</si>
  <si>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</si>
  <si>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</si>
  <si>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</si>
  <si>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</si>
  <si>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</si>
  <si>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</si>
  <si>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</si>
  <si>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</si>
  <si>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</si>
  <si>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</si>
  <si>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</si>
  <si>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</si>
  <si>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</si>
  <si>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</si>
  <si>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</si>
  <si>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</si>
  <si>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</si>
  <si>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</si>
  <si>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</si>
  <si>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</si>
  <si>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</si>
  <si>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</si>
  <si>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</si>
  <si>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</si>
  <si>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</si>
  <si>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</si>
  <si>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</si>
  <si>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</si>
  <si>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</si>
  <si>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</si>
  <si>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</si>
  <si>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</si>
  <si>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</si>
  <si>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</si>
  <si>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</si>
  <si>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</si>
  <si>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</si>
  <si>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</si>
  <si>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</si>
  <si>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</si>
  <si>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</si>
  <si>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</si>
  <si>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</si>
  <si>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</si>
  <si>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</si>
  <si>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</si>
  <si>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</si>
  <si>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</si>
  <si>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</si>
  <si>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</si>
  <si>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</si>
  <si>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</si>
  <si>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</si>
  <si>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</si>
  <si>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</si>
  <si>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</si>
  <si>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</si>
  <si>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</si>
  <si>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</si>
  <si>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</si>
  <si>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</si>
  <si>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</si>
  <si>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</si>
  <si>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</si>
  <si>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</si>
  <si>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</si>
  <si>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</si>
  <si>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</si>
  <si>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</si>
  <si>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</si>
  <si>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</si>
  <si>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</si>
  <si>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</si>
  <si>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</si>
  <si>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</si>
  <si>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</si>
  <si>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</si>
  <si>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</si>
  <si>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</si>
  <si>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</si>
  <si>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</si>
  <si>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</si>
  <si>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</si>
  <si>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</si>
  <si>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</si>
  <si>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</si>
  <si>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</si>
  <si>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</si>
  <si>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</si>
  <si>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</si>
  <si>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</si>
  <si>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</si>
  <si>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</si>
  <si>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</si>
  <si>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</si>
  <si>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</si>
  <si>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</si>
  <si>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</si>
  <si>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</si>
  <si>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</si>
  <si>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</si>
  <si>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</si>
  <si>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</si>
  <si>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</si>
  <si>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</si>
  <si>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</si>
  <si>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</si>
  <si>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</si>
  <si>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</si>
  <si>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</si>
  <si>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</si>
  <si>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</si>
  <si>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</si>
  <si>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</si>
  <si>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</si>
  <si>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</si>
  <si>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</si>
  <si>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</si>
  <si>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</si>
  <si>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</si>
  <si>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</si>
  <si>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</si>
  <si>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</si>
  <si>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</si>
  <si>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</si>
  <si>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</si>
  <si>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</si>
  <si>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</si>
  <si>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</si>
  <si>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</si>
  <si>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</si>
  <si>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</si>
  <si>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</si>
  <si>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</si>
  <si>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</si>
  <si>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</si>
  <si>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</si>
  <si>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</si>
  <si>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</si>
  <si>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</si>
  <si>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</si>
  <si>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</si>
  <si>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</si>
  <si>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</si>
  <si>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</si>
  <si>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</si>
  <si>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</si>
  <si>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</si>
  <si>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</si>
  <si>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</si>
  <si>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</si>
  <si>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</si>
  <si>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</si>
  <si>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</si>
  <si>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</si>
  <si>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</si>
  <si>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</si>
  <si>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</si>
  <si>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</si>
  <si>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</si>
  <si>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</si>
  <si>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</si>
  <si>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</si>
  <si>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</si>
  <si>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</si>
  <si>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</si>
  <si>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</si>
  <si>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</si>
  <si>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</si>
  <si>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</si>
  <si>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</si>
  <si>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</si>
  <si>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</si>
  <si>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</si>
  <si>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</si>
  <si>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</si>
  <si>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</si>
  <si>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</si>
  <si>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</si>
  <si>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</si>
  <si>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</si>
  <si>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</si>
  <si>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</si>
  <si>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</si>
  <si>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</si>
  <si>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</si>
  <si>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</si>
  <si>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</si>
  <si>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</si>
  <si>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</si>
  <si>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</si>
  <si>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</si>
  <si>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</si>
  <si>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</si>
  <si>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</si>
  <si>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</si>
  <si>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</si>
  <si>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</si>
  <si>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</si>
  <si>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</si>
  <si>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</si>
  <si>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</si>
  <si>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</si>
  <si>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</si>
  <si>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</si>
  <si>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</si>
  <si>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</si>
  <si>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</si>
  <si>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</si>
  <si>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</si>
  <si>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</si>
  <si>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</si>
  <si>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</si>
  <si>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</si>
  <si>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</si>
  <si>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</si>
  <si>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</si>
  <si>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</si>
  <si>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</si>
  <si>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</si>
  <si>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</si>
  <si>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</si>
  <si>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</si>
  <si>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</si>
  <si>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</si>
  <si>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</si>
  <si>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</si>
  <si>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</si>
  <si>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</si>
  <si>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</si>
  <si>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</si>
  <si>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</si>
  <si>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</si>
  <si>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</si>
  <si>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</si>
  <si>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</si>
  <si>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</si>
  <si>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</si>
  <si>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</si>
  <si>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</si>
  <si>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</si>
  <si>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</si>
  <si>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</si>
  <si>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</si>
  <si>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</si>
  <si>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</si>
  <si>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</si>
  <si>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</si>
  <si>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</si>
  <si>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</si>
  <si>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</si>
  <si>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</si>
  <si>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</si>
  <si>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</si>
  <si>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</si>
  <si>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</si>
  <si>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</si>
  <si>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</si>
  <si>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</si>
  <si>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</si>
  <si>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</si>
  <si>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</si>
  <si>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</si>
  <si>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</si>
  <si>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</si>
  <si>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</si>
  <si>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</si>
  <si>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</si>
  <si>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</si>
  <si>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</si>
  <si>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</si>
  <si>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</si>
  <si>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</si>
  <si>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</si>
  <si>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</si>
  <si>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</si>
  <si>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</si>
  <si>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</si>
  <si>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</si>
  <si>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</si>
  <si>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</si>
  <si>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</si>
  <si>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</si>
  <si>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</si>
  <si>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</si>
  <si>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</si>
  <si>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</si>
  <si>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</si>
  <si>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</si>
  <si>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</si>
  <si>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</si>
  <si>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</si>
  <si>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</si>
  <si>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</si>
  <si>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</si>
  <si>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</si>
  <si>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</si>
  <si>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</si>
  <si>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</si>
  <si>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</si>
  <si>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</si>
  <si>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</si>
  <si>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</si>
  <si>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</si>
  <si>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</si>
  <si>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</si>
  <si>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</si>
  <si>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</si>
  <si>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</si>
  <si>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</si>
  <si>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</si>
  <si>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</si>
  <si>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</si>
  <si>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</si>
  <si>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</si>
  <si>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</si>
  <si>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</si>
  <si>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</si>
  <si>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</si>
  <si>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</si>
  <si>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</si>
  <si>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</si>
  <si>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</si>
  <si>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</si>
  <si>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</si>
  <si>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</si>
  <si>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</si>
  <si>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</si>
  <si>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</si>
  <si>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</si>
  <si>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</si>
  <si>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</si>
  <si>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</si>
  <si>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</si>
  <si>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</si>
  <si>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</si>
  <si>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</si>
  <si>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</si>
  <si>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</si>
  <si>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</si>
  <si>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</si>
  <si>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</si>
  <si>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</si>
  <si>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</si>
  <si>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</si>
  <si>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</si>
  <si>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</si>
  <si>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</si>
  <si>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</si>
  <si>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</si>
  <si>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</si>
  <si>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</si>
  <si>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</si>
  <si>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</si>
  <si>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</si>
  <si>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</si>
  <si>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</si>
  <si>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</si>
  <si>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</si>
  <si>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</si>
  <si>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</si>
  <si>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</si>
  <si>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</si>
  <si>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</si>
  <si>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</si>
  <si>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</si>
  <si>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</si>
  <si>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</si>
  <si>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</si>
  <si>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</si>
  <si>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</si>
  <si>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</si>
  <si>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</si>
  <si>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</si>
  <si>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</si>
  <si>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</si>
  <si>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</si>
  <si>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</si>
  <si>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</si>
  <si>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</si>
  <si>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</si>
  <si>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</si>
  <si>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</si>
  <si>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</si>
  <si>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</si>
  <si>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</si>
  <si>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</si>
  <si>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</si>
  <si>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</si>
  <si>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</si>
  <si>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</si>
  <si>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</si>
  <si>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</si>
  <si>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</si>
  <si>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</si>
  <si>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</si>
  <si>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</si>
  <si>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</si>
  <si>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</si>
  <si>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</si>
  <si>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</si>
  <si>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</si>
  <si>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</si>
  <si>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</si>
  <si>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</si>
  <si>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</si>
  <si>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</si>
  <si>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</si>
  <si>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</si>
  <si>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</si>
  <si>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</si>
  <si>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</si>
  <si>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</si>
  <si>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</si>
  <si>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</si>
  <si>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</si>
  <si>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</si>
  <si>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</si>
  <si>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</si>
  <si>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</si>
  <si>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</si>
  <si>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</si>
  <si>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</si>
  <si>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</si>
  <si>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</si>
  <si>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</si>
  <si>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</si>
  <si>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</si>
  <si>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</si>
  <si>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</si>
  <si>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</si>
  <si>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</si>
  <si>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</si>
  <si>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</si>
  <si>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</si>
  <si>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</si>
  <si>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</si>
  <si>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</si>
  <si>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</si>
  <si>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</si>
  <si>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</si>
  <si>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</si>
  <si>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</si>
  <si>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</si>
  <si>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</si>
  <si>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</si>
  <si>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</si>
  <si>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</si>
  <si>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</si>
  <si>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</si>
  <si>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</si>
  <si>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</si>
  <si>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</si>
  <si>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</si>
  <si>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</si>
  <si>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</si>
  <si>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</si>
  <si>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</si>
  <si>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</si>
  <si>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</si>
  <si>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</si>
  <si>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</si>
  <si>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</si>
  <si>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</si>
  <si>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</si>
  <si>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</si>
  <si>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</si>
  <si>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</si>
  <si>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</si>
  <si>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</si>
  <si>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</si>
  <si>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</si>
  <si>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</si>
  <si>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</si>
  <si>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</si>
  <si>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</si>
  <si>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</si>
  <si>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</si>
  <si>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</si>
  <si>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</si>
  <si>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</si>
  <si>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</si>
  <si>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</si>
  <si>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</si>
  <si>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</si>
  <si>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</si>
  <si>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</si>
  <si>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</si>
  <si>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</si>
  <si>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</si>
  <si>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</si>
  <si>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</si>
  <si>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</si>
  <si>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</si>
  <si>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</si>
  <si>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</si>
  <si>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</si>
  <si>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</si>
  <si>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</si>
  <si>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</si>
  <si>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</si>
  <si>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</si>
  <si>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</si>
  <si>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</si>
  <si>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</si>
  <si>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</si>
  <si>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</si>
  <si>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</si>
  <si>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</si>
  <si>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</si>
  <si>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</si>
  <si>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</si>
  <si>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</si>
  <si>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</si>
  <si>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</si>
  <si>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</si>
  <si>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</si>
  <si>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</si>
  <si>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</si>
  <si>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</si>
  <si>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</si>
  <si>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</si>
  <si>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</si>
  <si>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</si>
  <si>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</si>
  <si>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</si>
  <si>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</si>
  <si>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</si>
  <si>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</si>
  <si>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</si>
  <si>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</si>
  <si>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</si>
  <si>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</si>
  <si>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</si>
  <si>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</si>
  <si>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</si>
  <si>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</si>
  <si>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</si>
  <si>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</si>
  <si>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</si>
  <si>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</si>
  <si>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</si>
  <si>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</si>
  <si>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</si>
  <si>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</si>
  <si>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</si>
  <si>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</si>
  <si>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</si>
  <si>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</si>
  <si>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</si>
  <si>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</si>
  <si>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</si>
  <si>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</si>
  <si>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</si>
  <si>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</si>
  <si>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</si>
  <si>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</si>
  <si>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</si>
  <si>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</si>
  <si>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</si>
  <si>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</si>
  <si>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</si>
  <si>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</si>
  <si>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</si>
  <si>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</si>
  <si>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</si>
  <si>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</si>
  <si>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</si>
  <si>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</si>
  <si>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</si>
  <si>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</si>
  <si>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</si>
  <si>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</si>
  <si>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</si>
  <si>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</si>
  <si>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</si>
  <si>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</si>
  <si>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</si>
  <si>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</si>
  <si>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</si>
  <si>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</si>
  <si>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</si>
  <si>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</si>
  <si>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</si>
  <si>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</si>
  <si>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</si>
  <si>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</si>
  <si>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</si>
  <si>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</si>
  <si>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</si>
  <si>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</si>
  <si>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</si>
  <si>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</si>
  <si>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</si>
  <si>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</si>
  <si>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</si>
  <si>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</si>
  <si>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</si>
  <si>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</si>
  <si>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</si>
  <si>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</si>
  <si>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</si>
  <si>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</si>
  <si>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</si>
  <si>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</si>
  <si>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</si>
  <si>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</si>
  <si>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</si>
  <si>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</si>
  <si>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</si>
  <si>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</si>
  <si>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</si>
  <si>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</si>
  <si>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</si>
  <si>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</si>
  <si>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</si>
  <si>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</si>
  <si>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</si>
  <si>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</si>
  <si>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</si>
  <si>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</si>
  <si>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</si>
  <si>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</si>
  <si>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</si>
  <si>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</si>
  <si>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</si>
  <si>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</si>
  <si>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</si>
  <si>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</si>
  <si>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</si>
  <si>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</si>
  <si>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</si>
  <si>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</si>
  <si>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</si>
  <si>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</si>
  <si>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</si>
  <si>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</si>
  <si>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</si>
  <si>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</si>
  <si>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</si>
  <si>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</si>
  <si>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</si>
  <si>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</si>
  <si>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</si>
  <si>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</si>
  <si>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</si>
  <si>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</si>
  <si>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</si>
  <si>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</si>
  <si>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</si>
  <si>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</si>
  <si>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</si>
  <si>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</si>
  <si>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</si>
  <si>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</si>
  <si>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</si>
  <si>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</si>
  <si>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</si>
  <si>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</si>
  <si>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</si>
  <si>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</si>
  <si>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</si>
  <si>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</si>
  <si>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</si>
  <si>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</si>
  <si>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</si>
  <si>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</si>
  <si>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</si>
  <si>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</si>
  <si>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</si>
  <si>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</si>
  <si>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</si>
  <si>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</si>
  <si>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</si>
  <si>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</si>
  <si>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</si>
  <si>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</si>
  <si>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</si>
  <si>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</si>
  <si>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</si>
  <si>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</si>
  <si>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</si>
  <si>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</si>
  <si>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</si>
  <si>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</si>
  <si>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</si>
  <si>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</si>
  <si>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</si>
  <si>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</si>
  <si>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</si>
  <si>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</si>
  <si>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</si>
  <si>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</si>
  <si>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</si>
  <si>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</si>
  <si>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</si>
  <si>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</si>
  <si>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</si>
  <si>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</si>
  <si>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</si>
  <si>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</si>
  <si>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</si>
  <si>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</si>
  <si>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</si>
  <si>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</si>
  <si>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</si>
  <si>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</si>
  <si>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</si>
  <si>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</si>
  <si>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</si>
  <si>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</si>
  <si>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</si>
  <si>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</si>
  <si>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</si>
  <si>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</si>
  <si>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</si>
  <si>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</si>
  <si>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</si>
  <si>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</si>
  <si>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</si>
  <si>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</si>
  <si>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</si>
  <si>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</si>
  <si>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</si>
  <si>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</si>
  <si>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</si>
  <si>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</si>
  <si>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</si>
  <si>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</si>
  <si>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</si>
  <si>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</si>
  <si>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</si>
  <si>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</si>
  <si>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</si>
  <si>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</si>
  <si>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</si>
  <si>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</si>
  <si>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</si>
  <si>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</si>
  <si>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</si>
  <si>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</si>
  <si>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</si>
  <si>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</si>
  <si>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</si>
  <si>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</si>
  <si>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</si>
  <si>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</si>
  <si>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</si>
  <si>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</si>
  <si>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</si>
  <si>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</si>
  <si>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</si>
  <si>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</si>
  <si>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</si>
  <si>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</si>
  <si>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</si>
  <si>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</si>
  <si>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</si>
  <si>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</si>
  <si>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</si>
  <si>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</si>
  <si>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</si>
  <si>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</si>
  <si>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</si>
  <si>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</si>
  <si>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</si>
  <si>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</si>
  <si>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</si>
  <si>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</si>
  <si>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</si>
  <si>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</si>
  <si>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</si>
  <si>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</si>
  <si>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</si>
  <si>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</si>
  <si>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</si>
  <si>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</si>
  <si>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</si>
  <si>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</si>
  <si>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</si>
  <si>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</si>
  <si>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</si>
  <si>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</si>
  <si>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</si>
  <si>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</si>
  <si>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</si>
  <si>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</si>
  <si>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</si>
  <si>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</si>
  <si>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</si>
  <si>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</si>
  <si>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</si>
  <si>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</si>
  <si>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</si>
  <si>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</si>
  <si>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</si>
  <si>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</si>
  <si>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</si>
  <si>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</si>
  <si>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</si>
  <si>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</si>
  <si>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</si>
  <si>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</si>
  <si>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</si>
  <si>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</si>
  <si>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</si>
  <si>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</si>
  <si>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</si>
  <si>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</si>
  <si>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</si>
  <si>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</si>
  <si>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</si>
  <si>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</si>
  <si>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</si>
  <si>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</si>
  <si>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</si>
  <si>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</si>
  <si>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</si>
  <si>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</si>
  <si>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</si>
  <si>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</si>
  <si>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</si>
  <si>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</si>
  <si>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</si>
  <si>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</si>
  <si>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</si>
  <si>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</si>
  <si>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</si>
  <si>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</si>
  <si>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</si>
  <si>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</si>
  <si>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</si>
  <si>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</si>
  <si>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</si>
  <si>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</si>
  <si>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</si>
  <si>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</si>
  <si>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</si>
  <si>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</si>
  <si>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</si>
  <si>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</si>
  <si>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</si>
  <si>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</si>
  <si>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</si>
  <si>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</si>
  <si>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</si>
  <si>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</si>
  <si>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</si>
  <si>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</si>
  <si>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</si>
  <si>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</si>
  <si>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</si>
  <si>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</si>
  <si>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</si>
  <si>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</si>
  <si>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</si>
  <si>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</si>
  <si>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</si>
  <si>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</si>
  <si>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</si>
  <si>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</si>
  <si>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</si>
  <si>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</si>
  <si>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</si>
  <si>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</si>
  <si>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</si>
  <si>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</si>
  <si>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</si>
  <si>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</si>
  <si>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</si>
  <si>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</si>
  <si>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</si>
  <si>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</si>
  <si>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</si>
  <si>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</si>
  <si>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</si>
  <si>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</si>
  <si>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</si>
  <si>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</si>
  <si>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</si>
  <si>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</si>
  <si>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</si>
  <si>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</si>
  <si>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</si>
  <si>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</si>
  <si>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</si>
  <si>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</si>
  <si>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</si>
  <si>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</si>
  <si>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</si>
  <si>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</si>
  <si>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</si>
  <si>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</si>
  <si>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</si>
  <si>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</si>
  <si>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</si>
  <si>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</si>
  <si>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</si>
  <si>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</si>
  <si>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</si>
  <si>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</si>
  <si>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</si>
  <si>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</si>
  <si>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</si>
  <si>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</si>
  <si>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</si>
  <si>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</si>
  <si>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</si>
  <si>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</si>
  <si>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</si>
  <si>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</si>
  <si>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</si>
  <si>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</si>
  <si>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</si>
  <si>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</si>
  <si>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</si>
  <si>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</si>
  <si>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</si>
  <si>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</si>
  <si>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</si>
  <si>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</si>
  <si>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</si>
  <si>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</si>
  <si>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</si>
  <si>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</si>
  <si>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</si>
  <si>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</si>
  <si>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</si>
  <si>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</si>
  <si>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</si>
  <si>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</si>
  <si>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</si>
  <si>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</si>
  <si>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</si>
  <si>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</si>
  <si>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</si>
  <si>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</si>
  <si>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</si>
  <si>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</si>
  <si>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</si>
  <si>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</si>
  <si>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</si>
  <si>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</si>
  <si>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</si>
  <si>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</si>
  <si>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</si>
  <si>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</si>
  <si>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</si>
  <si>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</si>
  <si>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</si>
  <si>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</si>
  <si>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</si>
  <si>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</si>
  <si>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</si>
  <si>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</si>
  <si>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</si>
  <si>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</si>
  <si>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</si>
  <si>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</si>
  <si>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</si>
  <si>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</si>
  <si>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</si>
  <si>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</si>
  <si>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</si>
  <si>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</si>
  <si>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</si>
  <si>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</si>
  <si>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</si>
  <si>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</si>
  <si>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</si>
  <si>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</si>
  <si>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</si>
  <si>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</si>
  <si>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</si>
  <si>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</si>
  <si>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</si>
  <si>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</si>
  <si>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</si>
  <si>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</si>
  <si>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</si>
  <si>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</si>
  <si>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</si>
  <si>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</si>
  <si>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</si>
  <si>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</si>
  <si>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</si>
  <si>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</si>
  <si>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</si>
  <si>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</si>
  <si>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</si>
  <si>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</si>
  <si>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</si>
  <si>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</si>
  <si>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</si>
  <si>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</si>
  <si>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</si>
  <si>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</si>
  <si>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</si>
  <si>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</si>
  <si>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</si>
  <si>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</si>
  <si>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</si>
  <si>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</si>
  <si>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</si>
  <si>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</si>
  <si>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</si>
  <si>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</si>
  <si>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</si>
  <si>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</si>
  <si>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</si>
  <si>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</si>
  <si>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</si>
  <si>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</si>
  <si>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</si>
  <si>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</si>
  <si>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</si>
  <si>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</si>
  <si>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</si>
  <si>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</si>
  <si>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</si>
  <si>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</si>
  <si>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</si>
  <si>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</si>
  <si>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</si>
  <si>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</si>
  <si>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</si>
  <si>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</si>
  <si>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</si>
  <si>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</si>
  <si>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</si>
  <si>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</si>
  <si>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</si>
  <si>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</si>
  <si>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</si>
  <si>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</si>
  <si>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</si>
  <si>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</si>
  <si>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</si>
  <si>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</si>
  <si>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</si>
  <si>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</si>
  <si>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</si>
  <si>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</si>
  <si>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</si>
  <si>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</si>
  <si>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</si>
  <si>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</si>
  <si>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</si>
  <si>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</si>
  <si>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</si>
  <si>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</si>
  <si>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</si>
  <si>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</si>
  <si>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</si>
  <si>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</si>
  <si>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</si>
  <si>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</si>
  <si>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</si>
  <si>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</si>
  <si>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</si>
  <si>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</si>
  <si>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</si>
  <si>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</si>
  <si>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</si>
  <si>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</si>
  <si>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</si>
  <si>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</si>
  <si>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</si>
  <si>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</si>
  <si>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</si>
  <si>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</si>
  <si>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</si>
  <si>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</si>
  <si>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</si>
  <si>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</si>
  <si>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</si>
  <si>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</si>
  <si>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</si>
  <si>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</si>
  <si>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</si>
  <si>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</si>
  <si>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</si>
  <si>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</si>
  <si>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</si>
  <si>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</si>
  <si>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</si>
  <si>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</si>
  <si>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</si>
  <si>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</si>
  <si>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</si>
  <si>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</si>
  <si>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</si>
  <si>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</si>
  <si>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</si>
  <si>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</si>
  <si>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</si>
  <si>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</si>
  <si>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</si>
  <si>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</si>
  <si>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</si>
  <si>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</si>
  <si>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</si>
  <si>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</si>
  <si>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</si>
  <si>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</si>
  <si>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</si>
  <si>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</si>
  <si>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</si>
  <si>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</si>
  <si>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</si>
  <si>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</si>
  <si>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</si>
  <si>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</si>
  <si>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</si>
  <si>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</si>
  <si>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</si>
  <si>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</si>
  <si>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</si>
  <si>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</si>
  <si>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</si>
  <si>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</si>
  <si>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</si>
  <si>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</si>
  <si>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</si>
  <si>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</si>
  <si>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</si>
  <si>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</si>
  <si>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</si>
  <si>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</si>
  <si>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</si>
  <si>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</si>
  <si>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</si>
  <si>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</si>
  <si>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</si>
  <si>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</si>
  <si>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</si>
  <si>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</si>
  <si>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</si>
  <si>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</si>
  <si>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</si>
  <si>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</si>
  <si>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</si>
  <si>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</si>
  <si>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</si>
  <si>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</si>
  <si>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</si>
  <si>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</si>
  <si>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</si>
  <si>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</si>
  <si>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</si>
  <si>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</si>
  <si>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</si>
  <si>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</si>
  <si>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</si>
  <si>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</si>
  <si>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</si>
  <si>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</si>
  <si>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</si>
  <si>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</si>
  <si>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</si>
  <si>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</si>
  <si>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</si>
  <si>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</si>
  <si>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</si>
  <si>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</si>
  <si>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</si>
  <si>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</si>
  <si>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</si>
  <si>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</si>
  <si>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</si>
  <si>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</si>
  <si>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</si>
  <si>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</si>
  <si>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</si>
  <si>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</si>
  <si>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</si>
  <si>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</si>
  <si>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</si>
  <si>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</si>
  <si>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</si>
  <si>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</si>
  <si>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</si>
  <si>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</si>
  <si>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</si>
  <si>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</si>
  <si>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</si>
  <si>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</si>
  <si>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</si>
  <si>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</si>
  <si>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</si>
  <si>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</si>
  <si>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</si>
  <si>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</si>
  <si>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</si>
  <si>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</si>
  <si>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</si>
  <si>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</si>
  <si>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</si>
  <si>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</si>
  <si>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</si>
  <si>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</si>
  <si>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</si>
  <si>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</si>
  <si>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</si>
  <si>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</si>
  <si>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</si>
  <si>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</si>
  <si>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</si>
  <si>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</si>
  <si>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</si>
  <si>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</si>
  <si>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</si>
  <si>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</si>
  <si>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</si>
  <si>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</si>
  <si>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</si>
  <si>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</si>
  <si>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</si>
  <si>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</si>
  <si>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</si>
  <si>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</si>
  <si>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</si>
  <si>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</si>
  <si>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</si>
  <si>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</si>
  <si>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</si>
  <si>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</si>
  <si>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</si>
  <si>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</si>
  <si>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</si>
  <si>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</si>
  <si>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</si>
  <si>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</si>
  <si>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</si>
  <si>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</si>
  <si>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</si>
  <si>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</si>
  <si>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</si>
  <si>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</si>
  <si>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</si>
  <si>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</si>
  <si>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</si>
  <si>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</si>
  <si>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</si>
  <si>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</si>
  <si>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</si>
  <si>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</si>
  <si>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</si>
  <si>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</si>
  <si>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</si>
  <si>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</si>
  <si>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</si>
  <si>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</si>
  <si>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</si>
  <si>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</si>
  <si>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</si>
  <si>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</si>
  <si>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</si>
  <si>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</si>
  <si>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</si>
  <si>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</si>
  <si>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</si>
  <si>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</si>
  <si>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</si>
  <si>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</si>
  <si>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</si>
  <si>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</si>
  <si>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</si>
  <si>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</si>
  <si>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</si>
  <si>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</si>
  <si>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</si>
  <si>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</si>
  <si>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</si>
  <si>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</si>
  <si>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</si>
  <si>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</si>
  <si>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</si>
  <si>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</si>
  <si>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</si>
  <si>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</si>
  <si>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</si>
  <si>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</si>
  <si>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</si>
  <si>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</si>
  <si>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</si>
  <si>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</si>
  <si>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</si>
  <si>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</si>
  <si>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</si>
  <si>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</si>
  <si>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</si>
  <si>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</si>
  <si>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</si>
  <si>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</si>
  <si>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</si>
  <si>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</si>
  <si>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</si>
  <si>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</si>
  <si>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</si>
  <si>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</si>
  <si>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</si>
  <si>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</si>
  <si>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</si>
  <si>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</si>
  <si>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</si>
  <si>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</si>
  <si>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</si>
  <si>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</si>
  <si>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</si>
  <si>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</si>
  <si>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</si>
  <si>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</si>
  <si>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</si>
  <si>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</si>
  <si>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</si>
  <si>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</si>
  <si>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</si>
  <si>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</si>
  <si>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</si>
  <si>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</si>
  <si>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</si>
  <si>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</si>
  <si>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</si>
  <si>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</si>
  <si>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</si>
  <si>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</si>
  <si>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</si>
  <si>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</si>
  <si>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</si>
  <si>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</si>
  <si>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</si>
  <si>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</si>
  <si>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</si>
  <si>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</si>
  <si>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</si>
  <si>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</si>
  <si>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</si>
  <si>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</si>
  <si>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</si>
  <si>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</si>
  <si>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</si>
  <si>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</si>
  <si>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</si>
  <si>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</si>
  <si>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</si>
  <si>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</si>
  <si>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</si>
  <si>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</si>
  <si>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</si>
  <si>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</si>
  <si>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</si>
  <si>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</si>
  <si>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</si>
  <si>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</si>
  <si>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</si>
  <si>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</si>
  <si>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</si>
  <si>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</si>
  <si>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</si>
  <si>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</si>
  <si>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</si>
  <si>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</si>
  <si>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</si>
  <si>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</si>
  <si>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</si>
  <si>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</si>
  <si>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</si>
  <si>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</si>
  <si>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</si>
  <si>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</si>
  <si>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</si>
  <si>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</si>
  <si>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</si>
  <si>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</si>
  <si>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</si>
  <si>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</si>
  <si>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</si>
  <si>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</si>
  <si>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</si>
  <si>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</si>
  <si>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</si>
  <si>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</si>
  <si>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</si>
  <si>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</si>
  <si>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</si>
  <si>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</si>
  <si>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</si>
  <si>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</si>
  <si>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</si>
  <si>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</si>
  <si>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</si>
  <si>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</si>
  <si>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</si>
  <si>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</si>
  <si>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</si>
  <si>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</si>
  <si>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</si>
  <si>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</si>
  <si>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</si>
  <si>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</si>
  <si>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</si>
  <si>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</si>
  <si>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</si>
  <si>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</si>
  <si>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</si>
  <si>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</si>
  <si>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</si>
  <si>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</si>
  <si>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</si>
  <si>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</si>
  <si>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</si>
  <si>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</si>
  <si>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</si>
  <si>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</si>
  <si>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</si>
  <si>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</si>
  <si>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</si>
  <si>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</si>
  <si>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</si>
  <si>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</si>
  <si>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</si>
  <si>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</si>
  <si>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</si>
  <si>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</si>
  <si>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</si>
  <si>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</si>
  <si>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</si>
  <si>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</si>
  <si>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</si>
  <si>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</si>
  <si>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</si>
  <si>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</si>
  <si>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</si>
  <si>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</si>
  <si>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</si>
  <si>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</si>
  <si>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</si>
  <si>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</si>
  <si>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</si>
  <si>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</si>
  <si>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</si>
  <si>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</si>
  <si>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</si>
  <si>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</si>
  <si>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</si>
  <si>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</si>
  <si>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</si>
  <si>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</si>
  <si>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</si>
  <si>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</si>
  <si>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</si>
  <si>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</si>
  <si>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</si>
  <si>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</si>
  <si>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</si>
  <si>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</si>
  <si>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</si>
  <si>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</si>
  <si>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</si>
  <si>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</si>
  <si>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</si>
  <si>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</si>
  <si>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</si>
  <si>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</si>
  <si>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</si>
  <si>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</si>
  <si>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</si>
  <si>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</si>
  <si>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</si>
  <si>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</si>
  <si>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</si>
  <si>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</si>
  <si>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</si>
  <si>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</si>
  <si>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</si>
  <si>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</si>
  <si>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</si>
  <si>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</si>
  <si>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</si>
  <si>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</si>
  <si>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</si>
  <si>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</si>
  <si>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</si>
  <si>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</si>
  <si>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</si>
  <si>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</si>
  <si>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</si>
  <si>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</si>
  <si>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</si>
  <si>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</si>
  <si>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</si>
  <si>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</si>
  <si>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</si>
  <si>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</si>
  <si>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</si>
  <si>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</si>
  <si>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</si>
  <si>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</si>
  <si>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</si>
  <si>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</si>
  <si>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</si>
  <si>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</si>
  <si>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</si>
  <si>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</si>
  <si>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</si>
  <si>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</si>
  <si>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</si>
  <si>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</si>
  <si>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</si>
  <si>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</si>
  <si>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</si>
  <si>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</si>
  <si>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</si>
  <si>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</si>
  <si>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</si>
  <si>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</si>
  <si>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</si>
  <si>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</si>
  <si>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</si>
  <si>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</si>
  <si>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</si>
  <si>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</si>
  <si>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</si>
  <si>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</si>
  <si>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</si>
  <si>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</si>
  <si>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</si>
  <si>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</si>
  <si>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</si>
  <si>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</si>
  <si>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</si>
  <si>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</si>
  <si>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</si>
  <si>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</si>
  <si>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</si>
  <si>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</si>
  <si>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</si>
  <si>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</si>
  <si>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</si>
  <si>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</si>
  <si>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</si>
  <si>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</si>
  <si>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</si>
  <si>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</si>
  <si>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</si>
  <si>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</si>
  <si>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</si>
  <si>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</si>
  <si>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</si>
  <si>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</si>
  <si>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</si>
  <si>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</si>
  <si>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</si>
  <si>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</si>
  <si>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</si>
  <si>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</si>
  <si>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</si>
  <si>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</si>
  <si>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</si>
  <si>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</si>
  <si>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</si>
  <si>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</si>
  <si>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</si>
  <si>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</si>
  <si>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</si>
  <si>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</si>
  <si>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</si>
  <si>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</si>
  <si>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</si>
  <si>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</si>
  <si>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</si>
  <si>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</si>
  <si>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</si>
  <si>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</si>
  <si>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</si>
  <si>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</si>
  <si>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</si>
  <si>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</si>
  <si>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</si>
  <si>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</si>
  <si>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</si>
  <si>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</si>
  <si>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</si>
  <si>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</si>
  <si>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</si>
  <si>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</si>
  <si>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</si>
  <si>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</si>
  <si>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</si>
  <si>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</si>
  <si>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</si>
  <si>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</si>
  <si>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</si>
  <si>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</si>
  <si>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</si>
  <si>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</si>
  <si>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</si>
  <si>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</si>
  <si>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</si>
  <si>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</si>
  <si>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</si>
  <si>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</si>
  <si>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</si>
  <si>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</si>
  <si>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</si>
  <si>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</si>
  <si>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</si>
  <si>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</si>
  <si>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</si>
  <si>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</si>
  <si>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</si>
  <si>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</si>
  <si>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</si>
  <si>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</si>
  <si>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</si>
  <si>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</si>
  <si>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</si>
  <si>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</si>
  <si>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</si>
  <si>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</si>
  <si>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</si>
  <si>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</si>
  <si>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</si>
  <si>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</si>
  <si>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</si>
  <si>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</si>
  <si>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</si>
  <si>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</si>
  <si>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</si>
  <si>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</si>
  <si>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</si>
  <si>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</si>
  <si>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</si>
  <si>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</si>
  <si>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</si>
  <si>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</si>
  <si>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</si>
  <si>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</si>
  <si>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</si>
  <si>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</si>
  <si>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</si>
  <si>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</si>
  <si>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</si>
  <si>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</si>
  <si>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</si>
  <si>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</si>
  <si>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</si>
  <si>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</si>
  <si>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</si>
  <si>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</si>
  <si>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</si>
  <si>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</si>
  <si>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</si>
  <si>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</si>
  <si>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</si>
  <si>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</si>
  <si>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</si>
  <si>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</si>
  <si>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</si>
  <si>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</si>
  <si>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</si>
  <si>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</si>
  <si>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</si>
  <si>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</si>
  <si>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</si>
  <si>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</si>
  <si>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</si>
  <si>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</si>
  <si>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</si>
  <si>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</si>
  <si>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</si>
  <si>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</si>
  <si>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</si>
  <si>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</si>
  <si>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</si>
  <si>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</si>
  <si>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</si>
  <si>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</si>
  <si>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</si>
  <si>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</si>
  <si>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</si>
  <si>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</si>
  <si>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</si>
  <si>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</si>
  <si>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</si>
  <si>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</si>
  <si>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</si>
  <si>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</si>
  <si>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</si>
  <si>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</si>
  <si>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</si>
  <si>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</si>
  <si>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</si>
  <si>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</si>
  <si>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</si>
  <si>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</si>
  <si>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</si>
  <si>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</si>
  <si>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</si>
  <si>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</si>
  <si>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</si>
  <si>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</si>
  <si>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</si>
  <si>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</si>
  <si>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</si>
  <si>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</si>
  <si>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</si>
  <si>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</si>
  <si>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</si>
  <si>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</si>
  <si>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</si>
  <si>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</si>
  <si>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</si>
  <si>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</si>
  <si>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</si>
  <si>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</si>
  <si>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</si>
  <si>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</si>
  <si>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</si>
  <si>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</si>
  <si>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</si>
  <si>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</si>
  <si>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</si>
  <si>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</si>
  <si>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</si>
  <si>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</si>
  <si>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</si>
  <si>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</si>
  <si>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</si>
  <si>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</si>
  <si>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</si>
  <si>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</si>
  <si>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</si>
  <si>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</si>
  <si>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</si>
  <si>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</si>
  <si>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</si>
  <si>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</si>
  <si>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</si>
  <si>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</si>
  <si>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</si>
  <si>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</si>
  <si>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</si>
  <si>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</si>
  <si>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</si>
  <si>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</si>
  <si>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</si>
  <si>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</si>
  <si>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</si>
  <si>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</si>
  <si>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</si>
  <si>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</si>
  <si>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</si>
  <si>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</si>
  <si>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</si>
  <si>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</si>
  <si>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</si>
  <si>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</si>
  <si>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</si>
  <si>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</si>
  <si>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</si>
  <si>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</si>
  <si>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</si>
  <si>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</si>
  <si>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</si>
  <si>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</si>
  <si>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</si>
  <si>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</si>
  <si>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</si>
  <si>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</si>
  <si>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</si>
  <si>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</si>
  <si>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</si>
  <si>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</si>
  <si>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</si>
  <si>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</si>
  <si>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</si>
  <si>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</si>
  <si>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</si>
  <si>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</si>
  <si>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</si>
  <si>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</si>
  <si>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</si>
  <si>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</si>
  <si>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</si>
  <si>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</si>
  <si>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</si>
  <si>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</si>
  <si>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</si>
  <si>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</si>
  <si>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</si>
  <si>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</si>
  <si>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</si>
  <si>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</si>
  <si>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</si>
  <si>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</si>
  <si>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</si>
  <si>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</si>
  <si>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</si>
  <si>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</si>
  <si>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</si>
  <si>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</si>
  <si>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</si>
  <si>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</si>
  <si>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</si>
  <si>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</si>
  <si>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</si>
  <si>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</si>
  <si>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</si>
  <si>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</si>
  <si>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</si>
  <si>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</si>
  <si>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</si>
  <si>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</si>
  <si>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</si>
  <si>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</si>
  <si>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</si>
  <si>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</si>
  <si>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</si>
  <si>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</si>
  <si>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</si>
  <si>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</si>
  <si>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</si>
  <si>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</si>
  <si>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</si>
  <si>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</si>
  <si>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</si>
  <si>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</si>
  <si>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</si>
  <si>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</si>
  <si>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</si>
  <si>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</si>
  <si>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</si>
  <si>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</si>
  <si>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</si>
  <si>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</si>
  <si>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</si>
  <si>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</si>
  <si>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</si>
  <si>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</si>
  <si>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</si>
  <si>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</si>
  <si>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</si>
  <si>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</si>
  <si>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</si>
  <si>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</si>
  <si>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</si>
  <si>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</si>
  <si>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</si>
  <si>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</si>
  <si>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</si>
  <si>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</si>
  <si>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</si>
  <si>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</si>
  <si>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</si>
  <si>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</si>
  <si>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</si>
  <si>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</si>
  <si>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</si>
  <si>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</si>
  <si>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</si>
  <si>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</si>
  <si>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</si>
  <si>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</si>
  <si>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</si>
  <si>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</si>
  <si>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</si>
  <si>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</si>
  <si>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</si>
  <si>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</si>
  <si>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</si>
  <si>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</si>
  <si>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</si>
  <si>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</si>
  <si>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</si>
  <si>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</si>
  <si>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</si>
  <si>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</si>
  <si>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</si>
  <si>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</si>
  <si>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</si>
  <si>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</si>
  <si>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</si>
  <si>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</si>
  <si>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</si>
  <si>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</si>
  <si>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</si>
  <si>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</si>
  <si>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</si>
  <si>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</si>
  <si>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</si>
  <si>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</si>
  <si>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</si>
  <si>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</si>
  <si>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</si>
  <si>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</si>
  <si>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</si>
  <si>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</si>
  <si>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</si>
  <si>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</si>
  <si>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</si>
  <si>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</si>
  <si>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</si>
  <si>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</si>
  <si>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</si>
  <si>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</si>
  <si>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</si>
  <si>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</si>
  <si>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</si>
  <si>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</si>
  <si>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</si>
  <si>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</si>
  <si>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</si>
  <si>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</si>
  <si>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</si>
  <si>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</si>
  <si>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</si>
  <si>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</si>
  <si>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</si>
  <si>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</si>
  <si>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</si>
  <si>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</si>
  <si>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</si>
  <si>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</si>
  <si>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</si>
  <si>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</si>
  <si>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</si>
  <si>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</si>
  <si>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</si>
  <si>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</si>
  <si>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</si>
  <si>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</si>
  <si>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</si>
  <si>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</si>
  <si>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</si>
  <si>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</si>
  <si>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</si>
  <si>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</si>
  <si>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</si>
  <si>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</si>
  <si>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</si>
  <si>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</si>
  <si>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</si>
  <si>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</si>
  <si>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</si>
  <si>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</si>
  <si>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</si>
  <si>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</si>
  <si>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</si>
  <si>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</si>
  <si>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</si>
  <si>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</si>
  <si>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</si>
  <si>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</si>
  <si>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</si>
  <si>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</si>
  <si>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</si>
  <si>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</si>
  <si>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</si>
  <si>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</si>
  <si>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</si>
  <si>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</si>
  <si>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</si>
  <si>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</si>
  <si>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</si>
  <si>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</si>
  <si>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</si>
  <si>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</si>
  <si>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</si>
  <si>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</si>
  <si>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</si>
  <si>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</si>
  <si>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</si>
  <si>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</si>
  <si>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</si>
  <si>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</si>
  <si>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</si>
  <si>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</si>
  <si>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</si>
  <si>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</si>
  <si>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</si>
  <si>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</si>
  <si>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</si>
  <si>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</si>
  <si>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</si>
  <si>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</si>
  <si>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</si>
  <si>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</si>
  <si>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</si>
  <si>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</si>
  <si>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</si>
  <si>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</si>
  <si>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</si>
  <si>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</si>
  <si>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</si>
  <si>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</si>
  <si>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</si>
  <si>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</si>
  <si>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</si>
  <si>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</si>
  <si>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</si>
  <si>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</si>
  <si>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</si>
  <si>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</si>
  <si>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</si>
  <si>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</si>
  <si>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</si>
  <si>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</si>
  <si>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</si>
  <si>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</si>
  <si>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</si>
  <si>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</si>
  <si>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</si>
  <si>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</si>
  <si>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</si>
  <si>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</si>
  <si>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</si>
  <si>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</si>
  <si>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</si>
  <si>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</si>
  <si>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</si>
  <si>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</si>
  <si>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</si>
  <si>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</si>
  <si>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</si>
  <si>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</si>
  <si>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</si>
  <si>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</si>
  <si>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</si>
  <si>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</si>
  <si>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</si>
  <si>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</si>
  <si>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</si>
  <si>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</si>
  <si>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</si>
  <si>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</si>
  <si>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</si>
  <si>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</si>
  <si>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</si>
  <si>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</si>
  <si>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</si>
  <si>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</si>
  <si>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</si>
  <si>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</si>
  <si>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</si>
  <si>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</si>
  <si>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</si>
  <si>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</si>
  <si>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</si>
  <si>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</si>
  <si>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</si>
  <si>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</si>
  <si>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</si>
  <si>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</si>
  <si>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</si>
  <si>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</si>
  <si>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</si>
  <si>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</si>
  <si>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</si>
  <si>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</si>
  <si>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</si>
  <si>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</si>
  <si>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</si>
  <si>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</si>
  <si>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</si>
  <si>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</si>
  <si>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</si>
  <si>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</si>
  <si>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</si>
  <si>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</si>
  <si>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</si>
  <si>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</si>
  <si>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</si>
  <si>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</si>
  <si>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</si>
  <si>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</si>
  <si>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</si>
  <si>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</si>
  <si>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</si>
  <si>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</si>
  <si>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</si>
  <si>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</si>
  <si>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</si>
  <si>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</si>
  <si>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</si>
  <si>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</si>
  <si>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</si>
  <si>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</si>
  <si>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</si>
  <si>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</si>
  <si>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</si>
  <si>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</si>
  <si>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</si>
  <si>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</si>
  <si>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</si>
  <si>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</si>
  <si>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</si>
  <si>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</si>
  <si>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</si>
  <si>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</si>
  <si>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</si>
  <si>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</si>
  <si>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</si>
  <si>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</si>
  <si>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</si>
  <si>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</si>
  <si>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</si>
  <si>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</si>
  <si>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</si>
  <si>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</si>
  <si>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</si>
  <si>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</si>
  <si>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</si>
  <si>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</si>
  <si>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</si>
  <si>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</si>
  <si>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</si>
  <si>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</si>
  <si>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</si>
  <si>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</si>
  <si>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</si>
  <si>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</si>
  <si>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</si>
  <si>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</si>
  <si>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</si>
  <si>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</si>
  <si>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</si>
  <si>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</si>
  <si>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</si>
  <si>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</si>
  <si>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</si>
  <si>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</si>
  <si>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</si>
  <si>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</si>
  <si>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</si>
  <si>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</si>
  <si>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</si>
  <si>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</si>
  <si>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</si>
  <si>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</si>
  <si>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</si>
  <si>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</si>
  <si>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</si>
  <si>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</si>
  <si>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</si>
  <si>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</si>
  <si>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</si>
  <si>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</si>
  <si>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</si>
  <si>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</si>
  <si>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</si>
  <si>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</si>
  <si>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</si>
  <si>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</si>
  <si>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</si>
  <si>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</si>
  <si>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</si>
  <si>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</si>
  <si>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</si>
  <si>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</si>
  <si>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</si>
  <si>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</si>
  <si>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</si>
  <si>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</si>
  <si>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</si>
  <si>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</si>
  <si>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</si>
  <si>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</si>
  <si>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</si>
  <si>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</si>
  <si>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</si>
  <si>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</si>
  <si>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</si>
  <si>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</si>
  <si>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</si>
  <si>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</si>
  <si>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</si>
  <si>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</si>
  <si>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</si>
  <si>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</si>
  <si>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</si>
  <si>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</si>
  <si>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</si>
  <si>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</si>
  <si>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</si>
  <si>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</si>
  <si>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</si>
  <si>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</si>
  <si>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</si>
  <si>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</si>
  <si>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</si>
  <si>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</si>
  <si>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</si>
  <si>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</si>
  <si>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</si>
  <si>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</si>
  <si>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</si>
  <si>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</si>
  <si>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</si>
  <si>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</si>
  <si>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</si>
  <si>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</si>
  <si>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</si>
  <si>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</si>
  <si>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</si>
  <si>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</si>
  <si>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</si>
  <si>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</si>
  <si>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</si>
  <si>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</si>
  <si>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</si>
  <si>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</si>
  <si>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</si>
  <si>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</si>
  <si>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</si>
  <si>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</si>
  <si>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</si>
  <si>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</si>
  <si>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</si>
  <si>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</si>
  <si>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</si>
  <si>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</si>
  <si>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</si>
  <si>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</si>
  <si>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</si>
  <si>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</si>
  <si>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</si>
  <si>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</si>
  <si>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</si>
  <si>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</si>
  <si>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</si>
  <si>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</si>
  <si>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</si>
  <si>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</si>
  <si>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</si>
  <si>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</si>
  <si>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</si>
  <si>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</si>
  <si>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</si>
  <si>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</si>
  <si>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</si>
  <si>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</si>
  <si>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</si>
  <si>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</si>
  <si>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</si>
  <si>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</si>
  <si>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</si>
  <si>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</si>
  <si>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</si>
  <si>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</si>
  <si>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</si>
  <si>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</si>
  <si>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</si>
  <si>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</si>
  <si>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</si>
  <si>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</si>
  <si>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</si>
  <si>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</si>
  <si>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</si>
  <si>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</si>
  <si>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</si>
  <si>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</si>
  <si>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</si>
  <si>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</si>
  <si>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</si>
  <si>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</si>
  <si>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</si>
  <si>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</si>
  <si>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</si>
  <si>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</si>
  <si>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</si>
  <si>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</si>
  <si>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</si>
  <si>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</si>
  <si>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</si>
  <si>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</si>
  <si>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</si>
  <si>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</si>
  <si>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</si>
  <si>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</si>
  <si>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</si>
  <si>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</si>
  <si>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</si>
  <si>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</si>
  <si>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</si>
  <si>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</si>
  <si>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</si>
  <si>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</si>
  <si>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</si>
  <si>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</si>
  <si>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</si>
  <si>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</si>
  <si>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</si>
  <si>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</si>
  <si>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</si>
  <si>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</si>
  <si>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</si>
  <si>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</si>
  <si>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</si>
  <si>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</si>
  <si>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</si>
  <si>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</si>
  <si>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</si>
  <si>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</si>
  <si>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</si>
  <si>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</si>
  <si>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</si>
  <si>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</si>
  <si>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</si>
  <si>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</si>
  <si>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</si>
  <si>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</si>
  <si>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</si>
  <si>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</si>
  <si>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</si>
  <si>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</si>
  <si>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</si>
  <si>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</si>
  <si>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</si>
  <si>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</si>
  <si>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</si>
  <si>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</si>
  <si>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</si>
  <si>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</si>
  <si>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</si>
  <si>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</si>
  <si>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</si>
  <si>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</si>
  <si>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</si>
  <si>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</si>
  <si>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</si>
  <si>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</si>
  <si>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</si>
  <si>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</si>
  <si>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</si>
  <si>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</si>
  <si>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</si>
  <si>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</si>
  <si>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</si>
  <si>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</si>
  <si>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</si>
  <si>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</si>
  <si>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</si>
  <si>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</si>
  <si>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</si>
  <si>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</si>
  <si>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</si>
  <si>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</si>
  <si>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</si>
  <si>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</si>
  <si>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</si>
  <si>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</si>
  <si>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</si>
  <si>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</si>
  <si>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</si>
  <si>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</si>
  <si>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</si>
  <si>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</si>
  <si>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</si>
  <si>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</si>
  <si>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</si>
  <si>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</si>
  <si>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</si>
  <si>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</si>
  <si>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</si>
  <si>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</si>
  <si>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</si>
  <si>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</si>
  <si>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</si>
  <si>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</si>
  <si>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</si>
  <si>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</si>
  <si>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</si>
  <si>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</si>
  <si>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</si>
  <si>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</si>
  <si>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</si>
  <si>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</si>
  <si>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</si>
  <si>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</si>
  <si>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</si>
  <si>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</si>
  <si>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</si>
  <si>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</si>
  <si>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</si>
  <si>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</si>
  <si>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</si>
  <si>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</si>
  <si>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</si>
  <si>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</si>
  <si>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</si>
  <si>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</si>
  <si>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</si>
  <si>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</si>
  <si>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</si>
  <si>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</si>
  <si>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</si>
  <si>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</si>
  <si>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</si>
  <si>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</si>
  <si>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</si>
  <si>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</si>
  <si>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</si>
  <si>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</si>
  <si>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</si>
  <si>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</si>
  <si>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</si>
  <si>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</si>
  <si>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</si>
  <si>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</si>
  <si>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</si>
  <si>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</si>
  <si>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</si>
  <si>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</si>
  <si>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</si>
  <si>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</si>
  <si>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</si>
  <si>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</si>
  <si>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</si>
  <si>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</si>
  <si>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</si>
  <si>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</si>
  <si>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</si>
  <si>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</si>
  <si>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</si>
  <si>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</si>
  <si>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</si>
  <si>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</si>
  <si>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</si>
  <si>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</si>
  <si>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</si>
  <si>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</si>
  <si>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</si>
  <si>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</si>
  <si>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</si>
  <si>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</si>
  <si>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</si>
  <si>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</si>
  <si>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</si>
  <si>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</si>
  <si>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</si>
  <si>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</si>
  <si>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</si>
  <si>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</si>
  <si>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</si>
  <si>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</si>
  <si>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</si>
  <si>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</si>
  <si>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</si>
  <si>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</si>
  <si>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</si>
  <si>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</si>
  <si>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</si>
  <si>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</si>
  <si>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</si>
  <si>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</si>
  <si>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</si>
  <si>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</si>
  <si>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</si>
  <si>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</si>
  <si>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</si>
  <si>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</si>
  <si>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</si>
  <si>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</si>
  <si>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</si>
  <si>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</si>
  <si>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</si>
  <si>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</si>
  <si>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</si>
  <si>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</si>
  <si>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</si>
  <si>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</si>
  <si>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</si>
  <si>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</si>
  <si>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</si>
  <si>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</si>
  <si>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</si>
  <si>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</si>
  <si>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</si>
  <si>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</si>
  <si>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</si>
  <si>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</si>
  <si>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</si>
  <si>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</si>
  <si>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</si>
  <si>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</si>
  <si>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</si>
  <si>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</si>
  <si>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</si>
  <si>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</si>
  <si>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</si>
  <si>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</si>
  <si>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</si>
  <si>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</si>
  <si>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</si>
  <si>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</si>
  <si>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</si>
  <si>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</si>
  <si>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</si>
  <si>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</si>
  <si>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</si>
  <si>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</si>
  <si>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</si>
  <si>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</si>
  <si>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</si>
  <si>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</si>
  <si>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</si>
  <si>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</si>
  <si>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</si>
  <si>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</si>
  <si>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</si>
  <si>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</si>
  <si>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</si>
  <si>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</si>
  <si>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</si>
  <si>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</si>
  <si>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</si>
  <si>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</si>
  <si>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</si>
  <si>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</si>
  <si>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</si>
  <si>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</si>
  <si>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</si>
  <si>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</si>
  <si>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</si>
  <si>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</si>
  <si>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</si>
  <si>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</si>
  <si>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</si>
  <si>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</si>
  <si>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</si>
  <si>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</si>
  <si>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</si>
  <si>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</si>
  <si>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</si>
  <si>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</si>
  <si>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</si>
  <si>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</si>
  <si>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</si>
  <si>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</si>
  <si>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</si>
  <si>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</si>
  <si>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</si>
  <si>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</si>
  <si>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</si>
  <si>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</si>
  <si>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</si>
  <si>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</si>
  <si>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</si>
  <si>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</si>
  <si>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</si>
  <si>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</si>
  <si>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</si>
  <si>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</si>
  <si>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</si>
  <si>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</si>
  <si>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</si>
  <si>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</si>
  <si>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</si>
  <si>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</si>
  <si>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</si>
  <si>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</si>
  <si>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</si>
  <si>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</si>
  <si>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</si>
  <si>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</si>
  <si>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</si>
  <si>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</si>
  <si>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</si>
  <si>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</si>
  <si>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</si>
  <si>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</si>
  <si>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</si>
  <si>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</si>
  <si>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</si>
  <si>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</si>
  <si>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</si>
  <si>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</si>
  <si>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</si>
  <si>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</si>
  <si>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</si>
  <si>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</si>
  <si>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</si>
  <si>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</si>
  <si>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</si>
  <si>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</si>
  <si>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</si>
  <si>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</si>
  <si>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</si>
  <si>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</si>
  <si>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</si>
  <si>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</si>
  <si>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</si>
  <si>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</si>
  <si>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</si>
  <si>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</si>
  <si>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</si>
  <si>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</si>
  <si>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</si>
  <si>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</si>
  <si>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</si>
  <si>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</si>
  <si>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</si>
  <si>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</si>
  <si>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</si>
  <si>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</si>
  <si>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</si>
  <si>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</si>
  <si>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</si>
  <si>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</si>
  <si>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</si>
  <si>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</si>
  <si>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</si>
  <si>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</si>
  <si>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</si>
  <si>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</si>
  <si>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</si>
  <si>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</si>
  <si>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</si>
  <si>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</si>
  <si>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</si>
  <si>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</si>
  <si>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</si>
  <si>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</si>
  <si>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</si>
  <si>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</si>
  <si>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</si>
  <si>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</si>
  <si>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</si>
  <si>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</si>
  <si>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</si>
  <si>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</si>
  <si>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</si>
  <si>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</si>
  <si>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</si>
  <si>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</si>
  <si>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</si>
  <si>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</si>
  <si>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</si>
  <si>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</si>
  <si>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</si>
  <si>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</si>
  <si>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</si>
  <si>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</si>
  <si>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</si>
  <si>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</si>
  <si>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</si>
  <si>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</si>
  <si>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</si>
  <si>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</si>
  <si>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</si>
  <si>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</si>
  <si>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</si>
  <si>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</si>
  <si>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</si>
  <si>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</si>
  <si>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</si>
  <si>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</si>
  <si>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</si>
  <si>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</si>
  <si>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</si>
  <si>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</si>
  <si>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</si>
  <si>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</si>
  <si>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</si>
  <si>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</si>
  <si>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</si>
  <si>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</si>
  <si>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</si>
  <si>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</si>
  <si>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</si>
  <si>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</si>
  <si>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</si>
  <si>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</si>
  <si>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</si>
  <si>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</si>
  <si>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</si>
  <si>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</si>
  <si>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</si>
  <si>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</si>
  <si>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</si>
  <si>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</si>
  <si>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</si>
  <si>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</si>
  <si>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</si>
  <si>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</si>
  <si>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</si>
  <si>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</si>
  <si>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</si>
  <si>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</si>
  <si>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</si>
  <si>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</si>
  <si>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</si>
  <si>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</si>
  <si>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</si>
  <si>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</si>
  <si>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</si>
  <si>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</si>
  <si>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</si>
  <si>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</si>
  <si>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</si>
  <si>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</si>
  <si>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</si>
  <si>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</si>
  <si>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</si>
  <si>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</si>
  <si>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</si>
  <si>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</si>
  <si>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</si>
  <si>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</si>
  <si>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</si>
  <si>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</si>
  <si>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</si>
  <si>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</si>
  <si>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</si>
  <si>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</si>
  <si>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</si>
  <si>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</si>
  <si>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</si>
  <si>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</si>
  <si>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</si>
  <si>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</si>
  <si>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</si>
  <si>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</si>
  <si>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</si>
  <si>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</si>
  <si>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</si>
  <si>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</si>
  <si>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</si>
  <si>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</si>
  <si>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</si>
  <si>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</si>
  <si>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</si>
  <si>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</si>
  <si>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</si>
  <si>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</si>
  <si>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</si>
  <si>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</si>
  <si>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</si>
  <si>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</si>
  <si>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</si>
  <si>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</si>
  <si>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</si>
  <si>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</si>
  <si>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</si>
  <si>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</si>
  <si>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</si>
  <si>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</si>
  <si>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</si>
  <si>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Geotechnical &amp; Environmental Consultants</t>
  </si>
  <si>
    <t>&lt;70</t>
  </si>
  <si>
    <t>Roadway - 58.4-68.9; Aircraft - &lt;55; Railway - 50.4-51.4</t>
  </si>
  <si>
    <t>Peaks of Cartersville, LP</t>
  </si>
  <si>
    <t>1819 Peachtree Road NE, Suite 520</t>
  </si>
  <si>
    <t>Joint Venture</t>
  </si>
  <si>
    <t>Chase Northcutt</t>
  </si>
  <si>
    <t>President of Manager of GP</t>
  </si>
  <si>
    <t>cnorthcutt@rhgroup.org</t>
  </si>
  <si>
    <t>Peaks of Cartersville GP, LLC</t>
  </si>
  <si>
    <t>President of Managing Member</t>
  </si>
  <si>
    <t>Not Applicable</t>
  </si>
  <si>
    <t>Affordable Equity Partners</t>
  </si>
  <si>
    <t>206 Peach Way</t>
  </si>
  <si>
    <t>www.aepartners.com</t>
  </si>
  <si>
    <t>bkimes@aepartners.com</t>
  </si>
  <si>
    <t>Brian Kimes</t>
  </si>
  <si>
    <t>Vice President</t>
  </si>
  <si>
    <t>Brian  Kimes</t>
  </si>
  <si>
    <t>Resource Housing Group, Inc.</t>
  </si>
  <si>
    <t>President</t>
  </si>
  <si>
    <t>Peaks of Cartersville Development, LLC</t>
  </si>
  <si>
    <t>Fairway Construction Co., Inc.</t>
  </si>
  <si>
    <t>3290 Northside Parkway NW, Suite 300</t>
  </si>
  <si>
    <t>www.fairwayconstruction.net</t>
  </si>
  <si>
    <t>shickey@fairwayconstruction.net</t>
  </si>
  <si>
    <t>Steven D. Hickey</t>
  </si>
  <si>
    <t>Director of Accouting and Operations</t>
  </si>
  <si>
    <t>Fairway Management, Inc.</t>
  </si>
  <si>
    <t>www.fairwaymanagement.com</t>
  </si>
  <si>
    <t>rstevens@fairwaymanagement.com</t>
  </si>
  <si>
    <t>Ryan Stevens</t>
  </si>
  <si>
    <t>Director of Operations</t>
  </si>
  <si>
    <t>Coleman Talley, LLP</t>
  </si>
  <si>
    <t>910 N. Patterson Street</t>
  </si>
  <si>
    <t>www.colemantalley.com</t>
  </si>
  <si>
    <t>greg.clark@colemantalley.com</t>
  </si>
  <si>
    <t>Gregory Q. Clark</t>
  </si>
  <si>
    <t>Attorney</t>
  </si>
  <si>
    <t>CohnReznick</t>
  </si>
  <si>
    <t>3560 Lenox Road, Suite 2800</t>
  </si>
  <si>
    <t>www.cohnreznick.co</t>
  </si>
  <si>
    <t>julie.mcnulty@cohnreznick.com</t>
  </si>
  <si>
    <t>Julie McNulty</t>
  </si>
  <si>
    <t>Partner</t>
  </si>
  <si>
    <t>Studio 8 Design Architecture</t>
  </si>
  <si>
    <t>2722 North Oak Street</t>
  </si>
  <si>
    <t>rbyington@s8darchitects.com</t>
  </si>
  <si>
    <t>www.s8darchitects.com</t>
  </si>
  <si>
    <t>Robert Byington</t>
  </si>
  <si>
    <t>Manging Partner</t>
  </si>
  <si>
    <t>Trisha A. Murphy</t>
  </si>
  <si>
    <t>PO Box 3482</t>
  </si>
  <si>
    <t>trishasinc@hotmail.com</t>
  </si>
  <si>
    <t>Currently no, but when the equity closes and the Federal and State Limited Partners are admitted there will be as they both share common principals with the Contractor</t>
  </si>
  <si>
    <t>The General Contractor and the Federal and State Limited Partners share common principals.</t>
  </si>
  <si>
    <t>Manager, Contractor and Syndicator</t>
  </si>
  <si>
    <t>The Manager, General Contractor and the Federal and State Limited Partners share common principals.</t>
  </si>
  <si>
    <t>For Profit</t>
  </si>
  <si>
    <t>The State Limited Partner, Federal Limited Partner, Management Company and Construction Company all share common principals.</t>
  </si>
  <si>
    <t>9% Credit Competitive Round only</t>
  </si>
  <si>
    <t>Peaks of Cartersville</t>
  </si>
  <si>
    <t>Landbridge Development</t>
  </si>
  <si>
    <t>D'Anne Hilsmier</t>
  </si>
  <si>
    <t>Application Manager</t>
  </si>
  <si>
    <t>7000 Peachtree Dunwoody Road NE, Suite 4-100</t>
  </si>
  <si>
    <t>d_anne@grhco.com</t>
  </si>
  <si>
    <t>Gary R. Hammond, Jr.</t>
  </si>
  <si>
    <t>grh@grhco.com</t>
  </si>
  <si>
    <t>TBD N. Tennessee Street</t>
  </si>
  <si>
    <t>640 N. Tennessee Street</t>
  </si>
  <si>
    <t>9607</t>
  </si>
  <si>
    <t>Within City Limits</t>
  </si>
  <si>
    <t>City of Cartersville</t>
  </si>
  <si>
    <t>Matt Santini</t>
  </si>
  <si>
    <t>Mayor</t>
  </si>
  <si>
    <t>www.cityofcartersville.org</t>
  </si>
  <si>
    <t>cartersvillemayor@yahoo.com</t>
  </si>
  <si>
    <t>11 N. Erwin Street</t>
  </si>
  <si>
    <t>Direct</t>
  </si>
  <si>
    <t>2018-019</t>
  </si>
  <si>
    <t>2017-019</t>
  </si>
  <si>
    <t>The Project Team submitted a pre-application Request for Qualification and recived a Qualified w/out Conditions Determination Letter dated April 30, 2018.</t>
  </si>
  <si>
    <t>Purchase Contract</t>
  </si>
  <si>
    <t>N/Ap</t>
  </si>
  <si>
    <t>Agree</t>
  </si>
  <si>
    <t>Covered Porch</t>
  </si>
  <si>
    <t>On-site laundry</t>
  </si>
  <si>
    <t>Covered Pavillion with Picnic/Barbeque Facilities</t>
  </si>
  <si>
    <t>Fenced Community Garden</t>
  </si>
  <si>
    <t>This project is new construction and therefore this section is not applicable.</t>
  </si>
  <si>
    <t>The project is new construction and therefore, Item A is not applicable.  Applicant agrees to comply with the Architectural Design &amp; Quality Standards as indicated in Item B.  Item C is not applicable.</t>
  </si>
  <si>
    <t>Gardening Classes, Cooking Programs, Financial Planning</t>
  </si>
  <si>
    <t>Healthy Eating Classes, Nutrition, Healthy Heart Programs, Diabetes Management</t>
  </si>
  <si>
    <t>Holiday Parties, Potluck Dinners, Bingo, Movie Nights</t>
  </si>
  <si>
    <t>The Applicant agrees to the standards set forth in the QAP and Architectural Manual.</t>
  </si>
  <si>
    <t>Applicant agrees to comply with QAP and DCA Architectural Requirements for Accessibility.  The consultant has not yet been engaged, but will be upon award.</t>
  </si>
  <si>
    <t>The pre app included the Compliance History Summary.  The team was determined to be Qualified and no further documentation was required per the Q&amp;A 8 answers.</t>
  </si>
  <si>
    <t>Applicant agrees to comply with all Affirmatively Furthering Fair Housing  Requirement as set forth in the QAP.</t>
  </si>
  <si>
    <t>Bowen National Research, Jeff Peters</t>
  </si>
  <si>
    <t>Shangri-La Park</t>
  </si>
  <si>
    <t>Etowah Village</t>
  </si>
  <si>
    <t>Cove Apts</t>
  </si>
  <si>
    <t>Brentwood</t>
  </si>
  <si>
    <t>2017-064</t>
  </si>
  <si>
    <t>2017-006</t>
  </si>
  <si>
    <t>Havenwood Cartersville</t>
  </si>
  <si>
    <t>1995-075</t>
  </si>
  <si>
    <t>2009-049</t>
  </si>
  <si>
    <t>unknown</t>
  </si>
  <si>
    <t>Waynesborough Academy II</t>
  </si>
  <si>
    <t>Sterling Bank</t>
  </si>
  <si>
    <t>Bellweather Enterprise Real Estate Capital</t>
  </si>
  <si>
    <t>Amortizing</t>
  </si>
  <si>
    <t>Sewer Capacity Study</t>
  </si>
  <si>
    <t>Engineer DD &amp; OPC</t>
  </si>
  <si>
    <t>Upfront Guarantee Fee (Due at Closing)</t>
  </si>
  <si>
    <t>Annual Guarantee Fee (During Construction)</t>
  </si>
  <si>
    <t>Elevator/High Rise</t>
  </si>
  <si>
    <t>We are using the Georgia North Elevator/High Rise Utility Allowances.</t>
  </si>
  <si>
    <t>3+ Story</t>
  </si>
  <si>
    <t>HSC/Health Department Staffing Costs</t>
  </si>
  <si>
    <t>Wellness Center/Activities/Education</t>
  </si>
  <si>
    <t>Bartow County Transit</t>
  </si>
  <si>
    <t>770-387-5165</t>
  </si>
  <si>
    <t>http://www.bartowga.org/departments/transit/</t>
  </si>
  <si>
    <t>Publicly available</t>
  </si>
  <si>
    <t>2016 Wellstar Kennestone Hospital Community Health Assessment; 2018 County Health Rankings Burke County; Interview with Bartow County Health Department</t>
  </si>
  <si>
    <t>monthly</t>
  </si>
  <si>
    <t>Screening Activities:  Blood Pressure, Biometric, Health Risk, TB Risk</t>
  </si>
  <si>
    <t>Screening Activities:  Immunizations, Diabetes/Blood Sugar Screening, Breast Cancer Screenings</t>
  </si>
  <si>
    <t>Education:  Women's Health, Adult Health</t>
  </si>
  <si>
    <t>Education:  Nutrition, Diabetes Control, Cholesterol</t>
  </si>
  <si>
    <t>% of Resident participating in the program</t>
  </si>
  <si>
    <t>Healthy Food Choices</t>
  </si>
  <si>
    <t>Cooking Demonstrations (Crock Pot, Hot Plate, Grill)</t>
  </si>
  <si>
    <t>Healthy Holiday Eating</t>
  </si>
  <si>
    <t>Nutrition Education/Meal Planning</t>
  </si>
  <si>
    <t>Gardening Basics</t>
  </si>
  <si>
    <t>Gardening Planning/Seed Starting/Transplanting</t>
  </si>
  <si>
    <t>Direct Seeding</t>
  </si>
  <si>
    <t>Seasonal Planting</t>
  </si>
  <si>
    <t>N/a</t>
  </si>
  <si>
    <t>Cartersville Elementary School</t>
  </si>
  <si>
    <t>3-5</t>
  </si>
  <si>
    <t>Cartersville Middle School</t>
  </si>
  <si>
    <t>6-8</t>
  </si>
  <si>
    <t>Cartersville High School</t>
  </si>
  <si>
    <t>9-12</t>
  </si>
  <si>
    <t>p. 27-39; Survey 40-79</t>
  </si>
  <si>
    <t>p. 19, 22</t>
  </si>
  <si>
    <t>p. 4-6; 119, 127, 133</t>
  </si>
  <si>
    <t>Middle</t>
  </si>
  <si>
    <t>No Phases or Previous Project Points are selected in this application.</t>
  </si>
  <si>
    <t>This project is not eligible for these points.</t>
  </si>
  <si>
    <t>The City of Cartersville has authorized one letter to be written for a project in the 2018 LIHTC Round.  They have chosen Peaks of Cartersville.</t>
  </si>
  <si>
    <t>City of Cartersville School District</t>
  </si>
  <si>
    <t>We are not selecting Transformation Points for this application.  We are using our 2017 Approved Transformation Plan from 2017 for the VIII Revitalization/Redevelopment Plan points as allowed in the QAP.</t>
  </si>
  <si>
    <t>19-21</t>
  </si>
  <si>
    <t>22, 24</t>
  </si>
  <si>
    <t xml:space="preserve">Applicant will provide activies through the Local Health Department, UGA Extension Office, and local area 3rd party vendors.  MOUS for the Health Department and UGA Extension Offices have been signed for services and education.  </t>
  </si>
  <si>
    <t xml:space="preserve">The project frontage is along North Tennessee Street. </t>
  </si>
  <si>
    <t xml:space="preserve">The property is zoned MU which allows for multi-family housing. </t>
  </si>
  <si>
    <t>Water and Sewer Services will be provided by the City of Cartersville as indicated on the Utility availability letter.</t>
  </si>
  <si>
    <t>There is no gas being used on the property for utilities.  The City of Cartersville will be providing Electrical services to the property as indicated on the Utility availability letter.</t>
  </si>
  <si>
    <t xml:space="preserve">All required amenities listed above, per the QAP, will be met as identified in the Site Plan docs. </t>
  </si>
  <si>
    <t xml:space="preserve">The project team received a Qualified Determination at pre-app 2018.  </t>
  </si>
  <si>
    <t>A legal opininon was provided by Coleman Talley to verify nonprofit Federal Tax Exempt Qualification Status.</t>
  </si>
  <si>
    <t>The schools in the site's attendance district all exceed the state average.  The 2 mile ring from the property listed 11,752 jobs exceeding the minimum threshold as required for the points.</t>
  </si>
  <si>
    <t>The Transformation Plan was approved and scored points in the 2017 round.  This plan is being used in place of the Revitalization Plan for this section as allowed in the QAP.</t>
  </si>
  <si>
    <t>No points were selected in this section.</t>
  </si>
  <si>
    <t xml:space="preserve">The applicant agrees to accept up to seven Section 811 PBRA or other DCA RA units.  </t>
  </si>
  <si>
    <t>This is not  a Historic Preservation Project.</t>
  </si>
  <si>
    <t>The Atlanta Cost limit has been selected for this project due to location.</t>
  </si>
  <si>
    <t>Under Item V.E., we have excluded two projects that are outside the PMA.  Project 4 (Brentwood) is an age restricted property funded in 2017 that is located on the periphery of the PMA.  Project 5 (Havenwood Cartersville) is a general occupancy project funded in 2017 located in the PMA.  The overall and LIHTC occupancies are very strong.  The project rental rates, capture rates, and absorption estimates indicate strong demand for the project.  We were unable to locate the project number for the Cove Apartments.  It was not listed on the http://georgia-dca.maps.arcgis.com/home/ website.</t>
  </si>
  <si>
    <t>Site Control is in the name of the Applicant per an Assignment of the Purchase Contract from Landbridge Acquisitions to Peaks of Cartersville, LP.  The intital Closing Date of the Purchase Contract is November 30, 2018, but there are seven 30 days extensions allowed which gives the Applicant site control through June 28, 2019.</t>
  </si>
  <si>
    <t>The site development plan meets all requirement of the QAP.  There are multiple location/vicinity maps at varied view levels to show the required areas.  Photos have been taken within the last six months and include a map and description.  Aerial photos have been marked with the site location identified as required.</t>
  </si>
  <si>
    <t>Zeffert &amp; Associates, Inc.</t>
  </si>
  <si>
    <t>www.rhgroup.org</t>
  </si>
  <si>
    <t>There is one occupant on the property.  The tenant meets the age and income restrictions for our proposed development.  We've included his move off the property during construction and his move back to the property once construction is complete.</t>
  </si>
  <si>
    <t>The applicant has complied with all requirements in the QAP and does not believe there are any inefficient use of resource issues as part of the project.</t>
  </si>
  <si>
    <t>This project has selected the Sustainable Building Certification of Earth Craft House Multifamily (Earthcraft Multifamily) for 1 point and High Performance Building Design item 1 for an additional 1 point using Option 1.  The applicant self-score is 137 points for Earthcraft Multifamily but the commitment is to score the minimum required to achieve the certification.</t>
  </si>
  <si>
    <t>The Residential Square Footage for purpose of Reasonableness of Costs is 63,492 SF.</t>
  </si>
  <si>
    <t>This project qualifies for 14 desirable points but is capped at 10.</t>
  </si>
  <si>
    <t>GP Contribution</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</si>
  <si>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</si>
  <si>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</si>
  <si>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applicant was required to obtain a sewer capacity letter in order for the City to issue the sewer availability letter as required by the QAP.</t>
  </si>
  <si>
    <t>This Third Party Report was used to justify moving forward with the project, and this is an elgible cost.</t>
  </si>
  <si>
    <t>Like other construction costs, this fee should be elgible in tax credit basis.  Rather than including it in Construction Loan Fee, it has been separately listed here.</t>
  </si>
  <si>
    <t>https://onedrive.live.com/?authkey=%21ABDd9vYMCV5nm34&amp;cid=4B401222422CBE3C&amp;id=4B4012224
22CBE3C%21120&amp;parId=4B401222422CBE3C%21116&amp;o=OneUp</t>
  </si>
  <si>
    <t>This property was rezoned in 2017 by the sponsor.</t>
  </si>
  <si>
    <t>The applicant has complied with the requirements of the 2018 QAP.  
The Applicant has included the comittments for the construction/perm loan, bridge loan, and the equity commitments for the State and Federal equity from AEP.</t>
  </si>
  <si>
    <t>Bartow County Health Department</t>
  </si>
  <si>
    <t>Waynesborough Academy II has not selected the priority point within their scoring tab.</t>
  </si>
  <si>
    <t>The Health and Wellness Screening will be provided to our residents at $15 or less.  Many patients will qualify for free or reduced services and may not be obligated to pay any fees.  The Health Department will process the residents through insurance/medicaid prior to charging the resident any fees.
The UGA Extension office will be providing gardening guidance along with gardening and nutrition classes to the residents as part of the Healthy Eating Program.  We have included an MOU to verify their involvement in this program.</t>
  </si>
  <si>
    <t>8 months</t>
  </si>
  <si>
    <t>This fee is due at closing for the construction portion of the financing to credit enhance the loan.  It is calculated based on 90% of the loan amount times 1.0%.</t>
  </si>
  <si>
    <t>USDA Requires an Annual Guaranty Fee be paid each year the loan is outstanding, based on the current amount of the loan at 12/31 of each year.  The fee is calculated at 0.50% of the Loan Amount.</t>
  </si>
  <si>
    <t>Mortgage A is a USDA 538 Insured Mortage through Bellweather Enterprise and continues from construction through permanent conversion.  The annual loan note guarantee rate of 0.50% is loaded into the base fee rate.</t>
  </si>
  <si>
    <t>* To all applicants: in addition to your other comments, please provide methodology for determining applicable construction hard costs.
The building envelope will be built to comply with the noise standards indicated in the QAP.  An Architect letter has been included to address the noise remediation measures to be taken as item 070800PksWayIINseLtr in Tab 7.
The Furniture Fixture &amp; Equipment line item includes the following items:  Office/Common Area furnishings, Computers, Security Costs, Submeters, Wellness Center Equipmen, Community Garden Equipment  &amp; Fixtures.
Construction Hard Costs have been estimated based on experience with building similar buildings in similar locations.  An engineer was engaged to provide an opinion of site development costs and vertical construction cost history was compared based on cost per square foot of heated area and gross covered area as well as per unit.</t>
  </si>
  <si>
    <t>Real Estate Tax Methodology:
We utilized Uniformity between Tax Credit Comparables as our basis for forecasting.    We used an average of $60,000/dwelling unit and $60/gross living area to come up with a value of $4,074,660.  The Combined Millage rate for the City of Cartersville and Bartow County is $2.9650.
The calculation is:  (Total Value x 40% * Millage Rate)/100
$4,074,660 x 40% = $1,629,864
$1,629,764 * $2.965 = $4,832,250
$4,832,250/100 = $48,323 TOTAL TAX PROJECTION  (See Tab 01 for comp methodology and comp information).
Insurance Methodology:  TIV Value $7,886,710
Policy Rates:  
Primary Property  = $0.192 per $100 Total Insurable Value = $15,142.48
Excess Property Allocation = $11.398/unit = $820.66
Terrorism Allocation = $1.563/unit = $112.54
General Liability  = $35.896/unit = $2,584.51
Tenant Discrimination = $5.58/unit = $401.76
Umbrella Allocation = $17.64/unit = $1,270.08
TOTAL INSURANCE PREMIUM = $20,332.03 or $282.39/unit   (See Tab 01 for binder information)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t>
  </si>
  <si>
    <t>There are no debt service payment amounts that deviate from the amount shown in Permanent Sources (Part III).</t>
  </si>
  <si>
    <t xml:space="preserve">Noise levels above the accepted 65 decibels were detected.  Not outdoor recreation areas are inside the 65 dBh contour and the building envelop will reduce interior levels below 65 dBh.  An Architectural Remediation Letter is included.
Northern Long Eared bats - no tree harvest between mid-May to early August. Upon award, applicant will have an independent study conducted to determine if these bats are on the property and will be impacted by tree clearing.
There is Asbestos and Lead Based Paint in the existing structures on site.  Those structures will be demolished and the lead based paint and asbestos will be abated.  The costs for abatement are includied in the budget.
</t>
  </si>
  <si>
    <t>All items C-I are answered yes and are verifiable through the documentation provided with the application.  The Legal opinion from Coleman Talley verifies the federal tax exempt qualification status for items C &amp; I; the Development Agreement, the Operating Agreement for the Developer and the Operating Agreement for the General Partner have been provided to verify Items D-H.</t>
  </si>
  <si>
    <t xml:space="preserve">Proposed Health Initiative:  Senior Health
Review of the reports and numerous discussions with the Bartow County Department of Public Health professionals that work within the Cartersville Community led us to determine the best services to provide to the prospective residents of Peaks of Cartersville.
     The following health priorities within the 2016 Wellstar Kennestone Hospital Community Health Needs Assessment ("CHNA") are as follows:
As related to Access to care and healthy lifestyles for Chronic Diseases prevention
• Underuse of Primary Care - Ed Utlization - Care Capacity in Clinics
• Cancer
• Cardiovascular disease
• COPD &amp; Asthma
• Obesity
• Type 2 Diabetes
     Similar items are also listed on the County Health Ranking Report:
Smoking, obesity, physical inactivity, access to exercise opportunities, excessive drinking, alcohol-impaired deaths, sexually transmitted infections, diabetes.
     The Peaks of Cartersville Community is being built as an age restricted Seniors (HFOP) property.  With the needs data results from the CHNA, and County Health Rankings the Senior Health Initiative will efficiently target the Peaks of Cartersville Community.  
     The Wellness Program being brought to the Peaks of Cartersville Community will feature the following health screening and educational classes as identified within the Memorandum of Understanding between Peaks of Cartersville, LP and the Bartow County Health Department:
Screening: High Blood Pressure, Biometric Screenings, Health Risk Assessments, Immunizations, TB Risk Assessment, Diabetes/Blood Sugar Screening, Breast Cancer Screenings
Education:  Women's Health, Adult Health, Nutrition, Diabetes, Cholesterol, Stroke/Heart Attack Prevention
     The relationship with the UGA Extension Office will provide additional support to the Health and Wellness of the Peaks of Cartersville residents by offering supportive services to the establishment of the community gardens and providing education on better health choices.  The classes being offered may consist of:  Gardening Basics/Plantings, Heathy Food Choices, Food Demonstrations, Healthy Holiday Eating, Nutrition Education, Meal Planning, and more.
</t>
  </si>
  <si>
    <t xml:space="preserve">     The proposed project involves the new construction of a 72 unit mulitfamily rental community for seniors, on a +-5.87 acre site in Cartersville, Georgia.  The project will offer one-bedroom and two-bedroom garden style units located within two, three story elevator buidlings.  The project will also include a free-standing community building which will house the subject's management office and resident common areas.  The subject property will be developed using Low Income Housing Tax Credit (LIHTC) financing and will target market rate, as well as, lower-income family households earning up to 50% and 60% of Area Median Household Income (AMHI).
     The proposed subject site is a parcel of land situated within an established portion of Cartersville that is gernally comprised of commercial and residential structures in good condition.  In addition to the well maintained existing structures withing the site neighborhood, wooded land surrounds portions of the subject site which creates a natural buffer to additional surrounding land uses within the immediate site neighborhood.  The subject site is clearly visible and easily accessible from North Tennessee Street, which borders the site to the east and will provide passersby traffic to the subject development.  In addition to providing clear visibility and convenient access, the subject location along this aforementioned arterial road also allows for convenient access to many area services.  Overall, the subject development is expected to benefit from its clear visibility and proximity to most basic community services.
     The development will be new construction and will qualify for the EarthCraft Multifamily certification.  The design features, services, and amenities will include Energy Star appliance packages in each unit, a community center with gathering area, a wellness enter, covered pavilion with grilling/barbecue area and a fenced community garden.  The development is within walking distance of restaurants, grocery stores, parks, banks, pharmacies, shopping and employment.</t>
  </si>
  <si>
    <t>Waynesboro Senior Homes (aka Waynesborough Academy II)</t>
  </si>
  <si>
    <t>2018-035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</si>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</sst>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Peaks of Cartersville</v>
      </c>
    </row>
    <row r="3" spans="1:6" ht="15" customHeight="1">
      <c r="A3" s="915" t="str">
        <f>CONCATENATE('Part I-Project Information'!F38,", ", 'Part I-Project Information'!J39," County")</f>
        <v>Cartersville, Bartow County</v>
      </c>
    </row>
    <row r="4" spans="1:6" ht="12" customHeight="1"/>
    <row r="5" spans="1:6" ht="111" customHeight="1">
      <c r="A5" s="2896" t="s">
        <v>4756</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qp61LP04r11CmasUOKh0xLQA1kpO/srOUzVPIwdPaub4FWUMxqUl6O1bhOJtN9qG4DaObudl88wlAW9PhrTfyA==" saltValue="JTQfKrrM80jyVPQ71CK3D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Q3"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2018-035 Peaks of Cartersville, Cartersville, Bartow County</v>
      </c>
      <c r="B1" s="1738"/>
      <c r="C1" s="1738"/>
      <c r="D1" s="1738"/>
      <c r="E1" s="1738"/>
      <c r="F1" s="1738"/>
      <c r="G1" s="1738"/>
      <c r="H1" s="1738"/>
      <c r="I1" s="1738"/>
      <c r="J1" s="1738"/>
      <c r="K1" s="1738"/>
      <c r="L1" s="1738"/>
      <c r="M1" s="1738"/>
      <c r="N1" s="1738"/>
      <c r="O1" s="1738"/>
      <c r="P1" s="1739"/>
      <c r="U1" s="1883" t="str">
        <f>A1</f>
        <v>PART SIX - PROJECTED REVENUES &amp; EXPENSES  -  2018-035 Peaks of Cartersville, Cartersville, Bartow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42"/>
      <c r="H5" s="1126"/>
      <c r="I5" s="1585" t="s">
        <v>806</v>
      </c>
      <c r="J5" s="1585" t="s">
        <v>3588</v>
      </c>
      <c r="K5" s="1881" t="s">
        <v>4547</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3"/>
      <c r="G6" s="1585" t="s">
        <v>3690</v>
      </c>
      <c r="H6" s="1873" t="s">
        <v>3918</v>
      </c>
      <c r="I6" s="1585" t="s">
        <v>807</v>
      </c>
      <c r="J6" s="1585" t="s">
        <v>3693</v>
      </c>
      <c r="K6" s="1882"/>
      <c r="L6" s="1882"/>
      <c r="M6" s="1874" t="str">
        <f>'Part I-Project Information'!$O$40</f>
        <v>Atlanta-Sandy Springs-Marietta</v>
      </c>
      <c r="N6" s="1874"/>
      <c r="O6" s="928">
        <f>VLOOKUP('Part I-Project Information'!$O$40,'DCA Underwriting Assumptions'!$C$155:$D$265,2)</f>
        <v>69700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3878</v>
      </c>
      <c r="J7" s="1585" t="s">
        <v>3694</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4" t="s">
        <v>119</v>
      </c>
      <c r="C10" s="3245">
        <v>1</v>
      </c>
      <c r="D10" s="3246">
        <v>1</v>
      </c>
      <c r="E10" s="3247">
        <v>6</v>
      </c>
      <c r="F10" s="3247">
        <v>726</v>
      </c>
      <c r="G10" s="3247">
        <v>653</v>
      </c>
      <c r="H10" s="3247">
        <v>603</v>
      </c>
      <c r="I10" s="3248">
        <f>IF(C10="",0,HLOOKUP(C10,'Part V-Utility Allowances'!$I$11:$M$21,11))</f>
        <v>103</v>
      </c>
      <c r="J10" s="3249"/>
      <c r="K10" s="629">
        <f t="shared" ref="K10:K47" si="1">MAX(0,H10-I10)</f>
        <v>500</v>
      </c>
      <c r="L10" s="629">
        <f t="shared" ref="L10:L47" si="2">MAX(0,E10*K10)</f>
        <v>3000</v>
      </c>
      <c r="M10" s="3250" t="s">
        <v>3014</v>
      </c>
      <c r="N10" s="3250" t="s">
        <v>4670</v>
      </c>
      <c r="O10" s="3250" t="s">
        <v>2311</v>
      </c>
      <c r="P10" s="3251" t="s">
        <v>3014</v>
      </c>
      <c r="Q10" s="3252">
        <f t="shared" ref="Q10:Q47" si="3">IF(H10="","",H10*12/0.3)</f>
        <v>24120</v>
      </c>
      <c r="R10" s="3253">
        <f>IF(H10="","",IF(C10="Efficiency",Q10/($O$6*VLOOKUP(0,'DCA Underwriting Assumptions'!$J$143:$K$148,2,FALSE)),Q10/($O$6*VLOOKUP(C10,'DCA Underwriting Assumptions'!$J$143:$K$148,2,FALSE))))</f>
        <v>0.46140602582496415</v>
      </c>
      <c r="S10" s="3254"/>
      <c r="T10" s="3255"/>
      <c r="U10" s="3220"/>
      <c r="V10" s="3221"/>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6</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4356</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6</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6</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6</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6</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6" t="s">
        <v>119</v>
      </c>
      <c r="C11" s="3257">
        <v>2</v>
      </c>
      <c r="D11" s="3258">
        <v>2</v>
      </c>
      <c r="E11" s="3259">
        <v>9</v>
      </c>
      <c r="F11" s="3259">
        <v>1001</v>
      </c>
      <c r="G11" s="3259">
        <v>784</v>
      </c>
      <c r="H11" s="3259">
        <v>728</v>
      </c>
      <c r="I11" s="3260">
        <f>IF(C11="",0,HLOOKUP(C11,'Part V-Utility Allowances'!$I$11:$M$21,11))</f>
        <v>128</v>
      </c>
      <c r="J11" s="3261"/>
      <c r="K11" s="630">
        <f t="shared" si="1"/>
        <v>600</v>
      </c>
      <c r="L11" s="630">
        <f t="shared" si="2"/>
        <v>5400</v>
      </c>
      <c r="M11" s="3262" t="s">
        <v>3014</v>
      </c>
      <c r="N11" s="3262" t="s">
        <v>4670</v>
      </c>
      <c r="O11" s="3262" t="s">
        <v>2311</v>
      </c>
      <c r="P11" s="3263" t="s">
        <v>3014</v>
      </c>
      <c r="Q11" s="3264">
        <f t="shared" si="3"/>
        <v>29120</v>
      </c>
      <c r="R11" s="3265">
        <f>IF(H11="","",IF(C11="Efficiency",Q11/($O$6*VLOOKUP(0,'DCA Underwriting Assumptions'!$J$143:$K$148,2,FALSE)),Q11/($O$6*VLOOKUP(C11,'DCA Underwriting Assumptions'!$J$143:$K$148,2,FALSE))))</f>
        <v>0.46421170094053882</v>
      </c>
      <c r="S11" s="3266"/>
      <c r="T11" s="3267"/>
      <c r="U11" s="3222"/>
      <c r="V11" s="3223"/>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9009</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9</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6" t="s">
        <v>1159</v>
      </c>
      <c r="C12" s="3257">
        <v>1</v>
      </c>
      <c r="D12" s="3258">
        <v>1</v>
      </c>
      <c r="E12" s="3259">
        <v>20</v>
      </c>
      <c r="F12" s="3259">
        <v>726</v>
      </c>
      <c r="G12" s="3259">
        <v>784</v>
      </c>
      <c r="H12" s="3259">
        <v>728</v>
      </c>
      <c r="I12" s="3260">
        <f>IF(C12="",0,HLOOKUP(C12,'Part V-Utility Allowances'!$I$11:$M$21,11))</f>
        <v>103</v>
      </c>
      <c r="J12" s="3261"/>
      <c r="K12" s="630">
        <f t="shared" si="1"/>
        <v>625</v>
      </c>
      <c r="L12" s="630">
        <f t="shared" si="2"/>
        <v>12500</v>
      </c>
      <c r="M12" s="3262" t="s">
        <v>3014</v>
      </c>
      <c r="N12" s="3262" t="s">
        <v>4670</v>
      </c>
      <c r="O12" s="3262" t="s">
        <v>2311</v>
      </c>
      <c r="P12" s="3263" t="s">
        <v>3014</v>
      </c>
      <c r="Q12" s="3264">
        <f t="shared" si="3"/>
        <v>29120</v>
      </c>
      <c r="R12" s="3265">
        <f>IF(H12="","",IF(C12="Efficiency",Q12/($O$6*VLOOKUP(0,'DCA Underwriting Assumptions'!$J$143:$K$148,2,FALSE)),Q12/($O$6*VLOOKUP(C12,'DCA Underwriting Assumptions'!$J$143:$K$148,2,FALSE))))</f>
        <v>0.55705404112864654</v>
      </c>
      <c r="S12" s="3266"/>
      <c r="T12" s="3267"/>
      <c r="U12" s="3222"/>
      <c r="V12" s="3223"/>
      <c r="W12" s="152" t="str">
        <f t="shared" si="4"/>
        <v/>
      </c>
      <c r="X12" s="152">
        <f t="shared" si="5"/>
        <v>20</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14520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20</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20</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20</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20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6" t="s">
        <v>1159</v>
      </c>
      <c r="C13" s="3257">
        <v>2</v>
      </c>
      <c r="D13" s="3258">
        <v>2</v>
      </c>
      <c r="E13" s="3259">
        <v>27</v>
      </c>
      <c r="F13" s="3259">
        <v>1001</v>
      </c>
      <c r="G13" s="3259">
        <v>941</v>
      </c>
      <c r="H13" s="3259">
        <v>853</v>
      </c>
      <c r="I13" s="3260">
        <f>IF(C13="",0,HLOOKUP(C13,'Part V-Utility Allowances'!$I$11:$M$21,11))</f>
        <v>128</v>
      </c>
      <c r="J13" s="3261"/>
      <c r="K13" s="630">
        <f t="shared" si="1"/>
        <v>725</v>
      </c>
      <c r="L13" s="630">
        <f t="shared" si="2"/>
        <v>19575</v>
      </c>
      <c r="M13" s="3262" t="s">
        <v>3014</v>
      </c>
      <c r="N13" s="3262" t="s">
        <v>4670</v>
      </c>
      <c r="O13" s="3262" t="s">
        <v>2311</v>
      </c>
      <c r="P13" s="3263" t="s">
        <v>3014</v>
      </c>
      <c r="Q13" s="3264">
        <f t="shared" si="3"/>
        <v>34120</v>
      </c>
      <c r="R13" s="3265">
        <f>IF(H13="","",IF(C13="Efficiency",Q13/($O$6*VLOOKUP(0,'DCA Underwriting Assumptions'!$J$143:$K$148,2,FALSE)),Q13/($O$6*VLOOKUP(C13,'DCA Underwriting Assumptions'!$J$143:$K$148,2,FALSE))))</f>
        <v>0.54391838036027418</v>
      </c>
      <c r="S13" s="3266"/>
      <c r="T13" s="3267"/>
      <c r="U13" s="3222"/>
      <c r="V13" s="3223"/>
      <c r="W13" s="152" t="str">
        <f t="shared" si="4"/>
        <v/>
      </c>
      <c r="X13" s="152" t="str">
        <f t="shared" si="5"/>
        <v/>
      </c>
      <c r="Y13" s="152">
        <f t="shared" si="6"/>
        <v>27</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27027</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27</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27</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27</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27</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3256" t="s">
        <v>305</v>
      </c>
      <c r="C14" s="3257">
        <v>1</v>
      </c>
      <c r="D14" s="3258">
        <v>1</v>
      </c>
      <c r="E14" s="3259">
        <v>4</v>
      </c>
      <c r="F14" s="3259">
        <v>726</v>
      </c>
      <c r="G14" s="3259"/>
      <c r="H14" s="3259">
        <v>750</v>
      </c>
      <c r="I14" s="3260">
        <v>0</v>
      </c>
      <c r="J14" s="3261"/>
      <c r="K14" s="630">
        <f t="shared" si="1"/>
        <v>750</v>
      </c>
      <c r="L14" s="630">
        <f t="shared" si="2"/>
        <v>3000</v>
      </c>
      <c r="M14" s="3262" t="s">
        <v>3014</v>
      </c>
      <c r="N14" s="3262" t="s">
        <v>4670</v>
      </c>
      <c r="O14" s="3262" t="s">
        <v>2311</v>
      </c>
      <c r="P14" s="3263" t="s">
        <v>3014</v>
      </c>
      <c r="Q14" s="3264">
        <f t="shared" si="3"/>
        <v>30000</v>
      </c>
      <c r="R14" s="3265">
        <f>IF(H14="","",IF(C14="Efficiency",Q14/($O$6*VLOOKUP(0,'DCA Underwriting Assumptions'!$J$143:$K$148,2,FALSE)),Q14/($O$6*VLOOKUP(C14,'DCA Underwriting Assumptions'!$J$143:$K$148,2,FALSE))))</f>
        <v>0.57388809182209466</v>
      </c>
      <c r="S14" s="3266"/>
      <c r="T14" s="3267"/>
      <c r="U14" s="3222"/>
      <c r="V14" s="3223"/>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f t="shared" si="20"/>
        <v>4</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f t="shared" si="75"/>
        <v>2904</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f t="shared" si="95"/>
        <v>4</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4</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f t="shared" si="210"/>
        <v>4</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4</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6" t="s">
        <v>305</v>
      </c>
      <c r="C15" s="3257">
        <v>2</v>
      </c>
      <c r="D15" s="3258">
        <v>2</v>
      </c>
      <c r="E15" s="3259">
        <v>6</v>
      </c>
      <c r="F15" s="3259">
        <v>1001</v>
      </c>
      <c r="G15" s="3259"/>
      <c r="H15" s="3259">
        <v>850</v>
      </c>
      <c r="I15" s="3260">
        <v>0</v>
      </c>
      <c r="J15" s="3261"/>
      <c r="K15" s="630">
        <f t="shared" si="1"/>
        <v>850</v>
      </c>
      <c r="L15" s="630">
        <f t="shared" si="2"/>
        <v>5100</v>
      </c>
      <c r="M15" s="3262" t="s">
        <v>3014</v>
      </c>
      <c r="N15" s="3262" t="s">
        <v>4670</v>
      </c>
      <c r="O15" s="3262" t="s">
        <v>2311</v>
      </c>
      <c r="P15" s="3263" t="s">
        <v>3014</v>
      </c>
      <c r="Q15" s="3264">
        <f t="shared" si="3"/>
        <v>34000</v>
      </c>
      <c r="R15" s="3265">
        <f>IF(H15="","",IF(C15="Efficiency",Q15/($O$6*VLOOKUP(0,'DCA Underwriting Assumptions'!$J$143:$K$148,2,FALSE)),Q15/($O$6*VLOOKUP(C15,'DCA Underwriting Assumptions'!$J$143:$K$148,2,FALSE))))</f>
        <v>0.54200542005420049</v>
      </c>
      <c r="S15" s="3266"/>
      <c r="T15" s="3267"/>
      <c r="U15" s="3222"/>
      <c r="V15" s="3223"/>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6</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6006</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f t="shared" si="96"/>
        <v>6</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6</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6</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6</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6" t="s">
        <v>1784</v>
      </c>
      <c r="C16" s="3257"/>
      <c r="D16" s="3258"/>
      <c r="E16" s="3259"/>
      <c r="F16" s="3259"/>
      <c r="G16" s="3259"/>
      <c r="H16" s="3259"/>
      <c r="I16" s="3260">
        <f>IF(C16="",0,HLOOKUP(C16,'Part V-Utility Allowances'!$I$11:$M$21,11))</f>
        <v>0</v>
      </c>
      <c r="J16" s="3261"/>
      <c r="K16" s="630">
        <f t="shared" si="1"/>
        <v>0</v>
      </c>
      <c r="L16" s="630">
        <f t="shared" si="2"/>
        <v>0</v>
      </c>
      <c r="M16" s="3262"/>
      <c r="N16" s="3262"/>
      <c r="O16" s="3262"/>
      <c r="P16" s="3263"/>
      <c r="Q16" s="3264" t="str">
        <f t="shared" si="3"/>
        <v/>
      </c>
      <c r="R16" s="3265" t="str">
        <f>IF(H16="","",IF(C16="Efficiency",Q16/($O$6*VLOOKUP(0,'DCA Underwriting Assumptions'!$J$143:$K$148,2,FALSE)),Q16/($O$6*VLOOKUP(C16,'DCA Underwriting Assumptions'!$J$143:$K$148,2,FALSE))))</f>
        <v/>
      </c>
      <c r="S16" s="3266"/>
      <c r="T16" s="3267"/>
      <c r="U16" s="3222"/>
      <c r="V16" s="3223"/>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6" t="s">
        <v>1784</v>
      </c>
      <c r="C17" s="3257"/>
      <c r="D17" s="3258"/>
      <c r="E17" s="3259"/>
      <c r="F17" s="3259"/>
      <c r="G17" s="3259"/>
      <c r="H17" s="3259"/>
      <c r="I17" s="3260">
        <f>IF(C17="",0,HLOOKUP(C17,'Part V-Utility Allowances'!$I$11:$M$21,11))</f>
        <v>0</v>
      </c>
      <c r="J17" s="3261"/>
      <c r="K17" s="630">
        <f t="shared" si="1"/>
        <v>0</v>
      </c>
      <c r="L17" s="630">
        <f t="shared" si="2"/>
        <v>0</v>
      </c>
      <c r="M17" s="3262"/>
      <c r="N17" s="3262"/>
      <c r="O17" s="3262"/>
      <c r="P17" s="3263"/>
      <c r="Q17" s="3264" t="str">
        <f t="shared" si="3"/>
        <v/>
      </c>
      <c r="R17" s="3265" t="str">
        <f>IF(H17="","",IF(C17="Efficiency",Q17/($O$6*VLOOKUP(0,'DCA Underwriting Assumptions'!$J$143:$K$148,2,FALSE)),Q17/($O$6*VLOOKUP(C17,'DCA Underwriting Assumptions'!$J$143:$K$148,2,FALSE))))</f>
        <v/>
      </c>
      <c r="S17" s="3266"/>
      <c r="T17" s="3267"/>
      <c r="U17" s="3222"/>
      <c r="V17" s="3223"/>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6" t="s">
        <v>1784</v>
      </c>
      <c r="C18" s="3257"/>
      <c r="D18" s="3258"/>
      <c r="E18" s="3259"/>
      <c r="F18" s="3259"/>
      <c r="G18" s="3259"/>
      <c r="H18" s="3259"/>
      <c r="I18" s="3260">
        <f>IF(C18="",0,HLOOKUP(C18,'Part V-Utility Allowances'!$I$11:$M$21,11))</f>
        <v>0</v>
      </c>
      <c r="J18" s="3261"/>
      <c r="K18" s="630">
        <f t="shared" si="1"/>
        <v>0</v>
      </c>
      <c r="L18" s="630">
        <f t="shared" si="2"/>
        <v>0</v>
      </c>
      <c r="M18" s="3262"/>
      <c r="N18" s="3262"/>
      <c r="O18" s="3262"/>
      <c r="P18" s="3263"/>
      <c r="Q18" s="3264" t="str">
        <f t="shared" si="3"/>
        <v/>
      </c>
      <c r="R18" s="3265" t="str">
        <f>IF(H18="","",IF(C18="Efficiency",Q18/($O$6*VLOOKUP(0,'DCA Underwriting Assumptions'!$J$143:$K$148,2,FALSE)),Q18/($O$6*VLOOKUP(C18,'DCA Underwriting Assumptions'!$J$143:$K$148,2,FALSE))))</f>
        <v/>
      </c>
      <c r="S18" s="3266"/>
      <c r="T18" s="3267"/>
      <c r="U18" s="3222"/>
      <c r="V18" s="3223"/>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6" t="s">
        <v>1784</v>
      </c>
      <c r="C19" s="3257"/>
      <c r="D19" s="3258"/>
      <c r="E19" s="3259"/>
      <c r="F19" s="3259"/>
      <c r="G19" s="3259"/>
      <c r="H19" s="3259"/>
      <c r="I19" s="3260">
        <f>IF(C19="",0,HLOOKUP(C19,'Part V-Utility Allowances'!$I$11:$M$21,11))</f>
        <v>0</v>
      </c>
      <c r="J19" s="3261"/>
      <c r="K19" s="630">
        <f t="shared" si="1"/>
        <v>0</v>
      </c>
      <c r="L19" s="630">
        <f t="shared" si="2"/>
        <v>0</v>
      </c>
      <c r="M19" s="3262"/>
      <c r="N19" s="3262"/>
      <c r="O19" s="3262"/>
      <c r="P19" s="3263"/>
      <c r="Q19" s="3264" t="str">
        <f t="shared" si="3"/>
        <v/>
      </c>
      <c r="R19" s="3265" t="str">
        <f>IF(H19="","",IF(C19="Efficiency",Q19/($O$6*VLOOKUP(0,'DCA Underwriting Assumptions'!$J$143:$K$148,2,FALSE)),Q19/($O$6*VLOOKUP(C19,'DCA Underwriting Assumptions'!$J$143:$K$148,2,FALSE))))</f>
        <v/>
      </c>
      <c r="S19" s="3266"/>
      <c r="T19" s="3267"/>
      <c r="U19" s="3222"/>
      <c r="V19" s="3223"/>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6" t="s">
        <v>1784</v>
      </c>
      <c r="C20" s="3257"/>
      <c r="D20" s="3258"/>
      <c r="E20" s="3259"/>
      <c r="F20" s="3259"/>
      <c r="G20" s="3259"/>
      <c r="H20" s="3259"/>
      <c r="I20" s="3260">
        <f>IF(C20="",0,HLOOKUP(C20,'Part V-Utility Allowances'!$I$11:$M$21,11))</f>
        <v>0</v>
      </c>
      <c r="J20" s="3261"/>
      <c r="K20" s="630">
        <f t="shared" si="1"/>
        <v>0</v>
      </c>
      <c r="L20" s="630">
        <f t="shared" si="2"/>
        <v>0</v>
      </c>
      <c r="M20" s="3262"/>
      <c r="N20" s="3262"/>
      <c r="O20" s="3262"/>
      <c r="P20" s="3263"/>
      <c r="Q20" s="3264" t="str">
        <f t="shared" si="3"/>
        <v/>
      </c>
      <c r="R20" s="3265" t="str">
        <f>IF(H20="","",IF(C20="Efficiency",Q20/($O$6*VLOOKUP(0,'DCA Underwriting Assumptions'!$J$143:$K$148,2,FALSE)),Q20/($O$6*VLOOKUP(C20,'DCA Underwriting Assumptions'!$J$143:$K$148,2,FALSE))))</f>
        <v/>
      </c>
      <c r="S20" s="3266"/>
      <c r="T20" s="3267"/>
      <c r="U20" s="3222"/>
      <c r="V20" s="3223"/>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6" t="s">
        <v>1784</v>
      </c>
      <c r="C21" s="3257"/>
      <c r="D21" s="3258"/>
      <c r="E21" s="3259"/>
      <c r="F21" s="3259"/>
      <c r="G21" s="3259"/>
      <c r="H21" s="3259"/>
      <c r="I21" s="3260">
        <f>IF(C21="",0,HLOOKUP(C21,'Part V-Utility Allowances'!$I$11:$M$21,11))</f>
        <v>0</v>
      </c>
      <c r="J21" s="3261"/>
      <c r="K21" s="630">
        <f t="shared" si="1"/>
        <v>0</v>
      </c>
      <c r="L21" s="630">
        <f t="shared" si="2"/>
        <v>0</v>
      </c>
      <c r="M21" s="3262"/>
      <c r="N21" s="3262"/>
      <c r="O21" s="3262"/>
      <c r="P21" s="3263"/>
      <c r="Q21" s="3264" t="str">
        <f t="shared" si="3"/>
        <v/>
      </c>
      <c r="R21" s="3265" t="str">
        <f>IF(H21="","",IF(C21="Efficiency",Q21/($O$6*VLOOKUP(0,'DCA Underwriting Assumptions'!$J$143:$K$148,2,FALSE)),Q21/($O$6*VLOOKUP(C21,'DCA Underwriting Assumptions'!$J$143:$K$148,2,FALSE))))</f>
        <v/>
      </c>
      <c r="S21" s="3266"/>
      <c r="T21" s="3267"/>
      <c r="U21" s="3222"/>
      <c r="V21" s="3223"/>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6" t="s">
        <v>1784</v>
      </c>
      <c r="C22" s="3257"/>
      <c r="D22" s="3258"/>
      <c r="E22" s="3259"/>
      <c r="F22" s="3259"/>
      <c r="G22" s="3259"/>
      <c r="H22" s="3259"/>
      <c r="I22" s="3260">
        <f>IF(C22="",0,HLOOKUP(C22,'Part V-Utility Allowances'!$I$11:$M$21,11))</f>
        <v>0</v>
      </c>
      <c r="J22" s="3261"/>
      <c r="K22" s="630">
        <f t="shared" si="1"/>
        <v>0</v>
      </c>
      <c r="L22" s="630">
        <f t="shared" si="2"/>
        <v>0</v>
      </c>
      <c r="M22" s="3262"/>
      <c r="N22" s="3262"/>
      <c r="O22" s="3262"/>
      <c r="P22" s="3263"/>
      <c r="Q22" s="3264" t="str">
        <f t="shared" si="3"/>
        <v/>
      </c>
      <c r="R22" s="3265" t="str">
        <f>IF(H22="","",IF(C22="Efficiency",Q22/($O$6*VLOOKUP(0,'DCA Underwriting Assumptions'!$J$143:$K$148,2,FALSE)),Q22/($O$6*VLOOKUP(C22,'DCA Underwriting Assumptions'!$J$143:$K$148,2,FALSE))))</f>
        <v/>
      </c>
      <c r="S22" s="3266"/>
      <c r="T22" s="3267"/>
      <c r="U22" s="3222"/>
      <c r="V22" s="3223"/>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6" t="s">
        <v>1784</v>
      </c>
      <c r="C23" s="3257"/>
      <c r="D23" s="3258"/>
      <c r="E23" s="3259"/>
      <c r="F23" s="3259"/>
      <c r="G23" s="3259"/>
      <c r="H23" s="3259"/>
      <c r="I23" s="3260">
        <f>IF(C23="",0,HLOOKUP(C23,'Part V-Utility Allowances'!$I$11:$M$21,11))</f>
        <v>0</v>
      </c>
      <c r="J23" s="3261"/>
      <c r="K23" s="630">
        <f t="shared" si="1"/>
        <v>0</v>
      </c>
      <c r="L23" s="630">
        <f t="shared" si="2"/>
        <v>0</v>
      </c>
      <c r="M23" s="3262"/>
      <c r="N23" s="3262"/>
      <c r="O23" s="3262"/>
      <c r="P23" s="3263"/>
      <c r="Q23" s="3264" t="str">
        <f t="shared" si="3"/>
        <v/>
      </c>
      <c r="R23" s="3265" t="str">
        <f>IF(H23="","",IF(C23="Efficiency",Q23/($O$6*VLOOKUP(0,'DCA Underwriting Assumptions'!$J$143:$K$148,2,FALSE)),Q23/($O$6*VLOOKUP(C23,'DCA Underwriting Assumptions'!$J$143:$K$148,2,FALSE))))</f>
        <v/>
      </c>
      <c r="S23" s="3266"/>
      <c r="T23" s="3267"/>
      <c r="U23" s="3222"/>
      <c r="V23" s="3223"/>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6" t="s">
        <v>1784</v>
      </c>
      <c r="C24" s="3257"/>
      <c r="D24" s="3258"/>
      <c r="E24" s="3259"/>
      <c r="F24" s="3259"/>
      <c r="G24" s="3259"/>
      <c r="H24" s="3259"/>
      <c r="I24" s="3260">
        <f>IF(C24="",0,HLOOKUP(C24,'Part V-Utility Allowances'!$I$11:$M$21,11))</f>
        <v>0</v>
      </c>
      <c r="J24" s="3261"/>
      <c r="K24" s="630">
        <f t="shared" si="1"/>
        <v>0</v>
      </c>
      <c r="L24" s="630">
        <f t="shared" si="2"/>
        <v>0</v>
      </c>
      <c r="M24" s="3262"/>
      <c r="N24" s="3262"/>
      <c r="O24" s="3262"/>
      <c r="P24" s="3263"/>
      <c r="Q24" s="3264" t="str">
        <f t="shared" si="3"/>
        <v/>
      </c>
      <c r="R24" s="3265" t="str">
        <f>IF(H24="","",IF(C24="Efficiency",Q24/($O$6*VLOOKUP(0,'DCA Underwriting Assumptions'!$J$143:$K$148,2,FALSE)),Q24/($O$6*VLOOKUP(C24,'DCA Underwriting Assumptions'!$J$143:$K$148,2,FALSE))))</f>
        <v/>
      </c>
      <c r="S24" s="3266"/>
      <c r="T24" s="3267"/>
      <c r="U24" s="3222"/>
      <c r="V24" s="3223"/>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6" t="s">
        <v>1784</v>
      </c>
      <c r="C25" s="3257"/>
      <c r="D25" s="3258"/>
      <c r="E25" s="3259"/>
      <c r="F25" s="3259"/>
      <c r="G25" s="3259"/>
      <c r="H25" s="3259"/>
      <c r="I25" s="3260">
        <f>IF(C25="",0,HLOOKUP(C25,'Part V-Utility Allowances'!$I$11:$M$21,11))</f>
        <v>0</v>
      </c>
      <c r="J25" s="3261"/>
      <c r="K25" s="630">
        <f t="shared" si="1"/>
        <v>0</v>
      </c>
      <c r="L25" s="630">
        <f t="shared" si="2"/>
        <v>0</v>
      </c>
      <c r="M25" s="3262"/>
      <c r="N25" s="3262"/>
      <c r="O25" s="3262"/>
      <c r="P25" s="3263"/>
      <c r="Q25" s="3264" t="str">
        <f t="shared" si="3"/>
        <v/>
      </c>
      <c r="R25" s="3265" t="str">
        <f>IF(H25="","",IF(C25="Efficiency",Q25/($O$6*VLOOKUP(0,'DCA Underwriting Assumptions'!$J$143:$K$148,2,FALSE)),Q25/($O$6*VLOOKUP(C25,'DCA Underwriting Assumptions'!$J$143:$K$148,2,FALSE))))</f>
        <v/>
      </c>
      <c r="S25" s="3266"/>
      <c r="T25" s="3267"/>
      <c r="U25" s="3222"/>
      <c r="V25" s="3223"/>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6" t="s">
        <v>1784</v>
      </c>
      <c r="C26" s="3257"/>
      <c r="D26" s="3258"/>
      <c r="E26" s="3259"/>
      <c r="F26" s="3259"/>
      <c r="G26" s="3259"/>
      <c r="H26" s="3259"/>
      <c r="I26" s="3260">
        <f>IF(C26="",0,HLOOKUP(C26,'Part V-Utility Allowances'!$I$11:$M$21,11))</f>
        <v>0</v>
      </c>
      <c r="J26" s="3261"/>
      <c r="K26" s="630">
        <f t="shared" si="1"/>
        <v>0</v>
      </c>
      <c r="L26" s="630">
        <f t="shared" si="2"/>
        <v>0</v>
      </c>
      <c r="M26" s="3262"/>
      <c r="N26" s="3262"/>
      <c r="O26" s="3262"/>
      <c r="P26" s="3263"/>
      <c r="Q26" s="3264" t="str">
        <f t="shared" si="3"/>
        <v/>
      </c>
      <c r="R26" s="3265" t="str">
        <f>IF(H26="","",IF(C26="Efficiency",Q26/($O$6*VLOOKUP(0,'DCA Underwriting Assumptions'!$J$143:$K$148,2,FALSE)),Q26/($O$6*VLOOKUP(C26,'DCA Underwriting Assumptions'!$J$143:$K$148,2,FALSE))))</f>
        <v/>
      </c>
      <c r="S26" s="3266"/>
      <c r="T26" s="3267"/>
      <c r="U26" s="3222"/>
      <c r="V26" s="3223"/>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6" t="s">
        <v>1784</v>
      </c>
      <c r="C27" s="3257"/>
      <c r="D27" s="3258"/>
      <c r="E27" s="3259"/>
      <c r="F27" s="3259"/>
      <c r="G27" s="3259"/>
      <c r="H27" s="3259"/>
      <c r="I27" s="3260">
        <f>IF(C27="",0,HLOOKUP(C27,'Part V-Utility Allowances'!$I$11:$M$21,11))</f>
        <v>0</v>
      </c>
      <c r="J27" s="3261"/>
      <c r="K27" s="630">
        <f t="shared" si="1"/>
        <v>0</v>
      </c>
      <c r="L27" s="630">
        <f t="shared" si="2"/>
        <v>0</v>
      </c>
      <c r="M27" s="3262"/>
      <c r="N27" s="3262"/>
      <c r="O27" s="3262"/>
      <c r="P27" s="3263"/>
      <c r="Q27" s="3264" t="str">
        <f t="shared" si="3"/>
        <v/>
      </c>
      <c r="R27" s="3265" t="str">
        <f>IF(H27="","",IF(C27="Efficiency",Q27/($O$6*VLOOKUP(0,'DCA Underwriting Assumptions'!$J$143:$K$148,2,FALSE)),Q27/($O$6*VLOOKUP(C27,'DCA Underwriting Assumptions'!$J$143:$K$148,2,FALSE))))</f>
        <v/>
      </c>
      <c r="S27" s="3266"/>
      <c r="T27" s="3267"/>
      <c r="U27" s="3222"/>
      <c r="V27" s="3223"/>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6" t="s">
        <v>1784</v>
      </c>
      <c r="C28" s="3257"/>
      <c r="D28" s="3258"/>
      <c r="E28" s="3259"/>
      <c r="F28" s="3259"/>
      <c r="G28" s="3259"/>
      <c r="H28" s="3259"/>
      <c r="I28" s="3260">
        <f>IF(C28="",0,HLOOKUP(C28,'Part V-Utility Allowances'!$I$11:$M$21,11))</f>
        <v>0</v>
      </c>
      <c r="J28" s="3261"/>
      <c r="K28" s="630">
        <f t="shared" si="1"/>
        <v>0</v>
      </c>
      <c r="L28" s="630">
        <f t="shared" si="2"/>
        <v>0</v>
      </c>
      <c r="M28" s="3262"/>
      <c r="N28" s="3262"/>
      <c r="O28" s="3262"/>
      <c r="P28" s="3263"/>
      <c r="Q28" s="3264" t="str">
        <f t="shared" si="3"/>
        <v/>
      </c>
      <c r="R28" s="3265" t="str">
        <f>IF(H28="","",IF(C28="Efficiency",Q28/($O$6*VLOOKUP(0,'DCA Underwriting Assumptions'!$J$143:$K$148,2,FALSE)),Q28/($O$6*VLOOKUP(C28,'DCA Underwriting Assumptions'!$J$143:$K$148,2,FALSE))))</f>
        <v/>
      </c>
      <c r="S28" s="3266"/>
      <c r="T28" s="3267"/>
      <c r="U28" s="3222"/>
      <c r="V28" s="3223"/>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6" t="s">
        <v>1784</v>
      </c>
      <c r="C29" s="3257"/>
      <c r="D29" s="3258"/>
      <c r="E29" s="3259"/>
      <c r="F29" s="3259"/>
      <c r="G29" s="3259"/>
      <c r="H29" s="3259"/>
      <c r="I29" s="3260">
        <f>IF(C29="",0,HLOOKUP(C29,'Part V-Utility Allowances'!$I$11:$M$21,11))</f>
        <v>0</v>
      </c>
      <c r="J29" s="3261"/>
      <c r="K29" s="630">
        <f t="shared" si="1"/>
        <v>0</v>
      </c>
      <c r="L29" s="630">
        <f t="shared" si="2"/>
        <v>0</v>
      </c>
      <c r="M29" s="3262"/>
      <c r="N29" s="3262"/>
      <c r="O29" s="3262"/>
      <c r="P29" s="3263"/>
      <c r="Q29" s="3264" t="str">
        <f t="shared" si="3"/>
        <v/>
      </c>
      <c r="R29" s="3265" t="str">
        <f>IF(H29="","",IF(C29="Efficiency",Q29/($O$6*VLOOKUP(0,'DCA Underwriting Assumptions'!$J$143:$K$148,2,FALSE)),Q29/($O$6*VLOOKUP(C29,'DCA Underwriting Assumptions'!$J$143:$K$148,2,FALSE))))</f>
        <v/>
      </c>
      <c r="S29" s="3266"/>
      <c r="T29" s="3267"/>
      <c r="U29" s="3222"/>
      <c r="V29" s="3223"/>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6" t="s">
        <v>1784</v>
      </c>
      <c r="C30" s="3257"/>
      <c r="D30" s="3258"/>
      <c r="E30" s="3259"/>
      <c r="F30" s="3259"/>
      <c r="G30" s="3259"/>
      <c r="H30" s="3259"/>
      <c r="I30" s="3260">
        <f>IF(C30="",0,HLOOKUP(C30,'Part V-Utility Allowances'!$I$11:$M$21,11))</f>
        <v>0</v>
      </c>
      <c r="J30" s="3261"/>
      <c r="K30" s="630">
        <f t="shared" si="1"/>
        <v>0</v>
      </c>
      <c r="L30" s="630">
        <f t="shared" si="2"/>
        <v>0</v>
      </c>
      <c r="M30" s="3262"/>
      <c r="N30" s="3262"/>
      <c r="O30" s="3262"/>
      <c r="P30" s="3263"/>
      <c r="Q30" s="3264" t="str">
        <f t="shared" si="3"/>
        <v/>
      </c>
      <c r="R30" s="3265" t="str">
        <f>IF(H30="","",IF(C30="Efficiency",Q30/($O$6*VLOOKUP(0,'DCA Underwriting Assumptions'!$J$143:$K$148,2,FALSE)),Q30/($O$6*VLOOKUP(C30,'DCA Underwriting Assumptions'!$J$143:$K$148,2,FALSE))))</f>
        <v/>
      </c>
      <c r="S30" s="3266"/>
      <c r="T30" s="3267"/>
      <c r="U30" s="3222"/>
      <c r="V30" s="3223"/>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6" t="s">
        <v>1784</v>
      </c>
      <c r="C31" s="3257"/>
      <c r="D31" s="3258"/>
      <c r="E31" s="3259"/>
      <c r="F31" s="3259"/>
      <c r="G31" s="3259"/>
      <c r="H31" s="3259"/>
      <c r="I31" s="3260">
        <f>IF(C31="",0,HLOOKUP(C31,'Part V-Utility Allowances'!$I$11:$M$21,11))</f>
        <v>0</v>
      </c>
      <c r="J31" s="3261"/>
      <c r="K31" s="630">
        <f t="shared" si="1"/>
        <v>0</v>
      </c>
      <c r="L31" s="630">
        <f t="shared" si="2"/>
        <v>0</v>
      </c>
      <c r="M31" s="3262"/>
      <c r="N31" s="3262"/>
      <c r="O31" s="3262"/>
      <c r="P31" s="3263"/>
      <c r="Q31" s="3264" t="str">
        <f t="shared" si="3"/>
        <v/>
      </c>
      <c r="R31" s="3265" t="str">
        <f>IF(H31="","",IF(C31="Efficiency",Q31/($O$6*VLOOKUP(0,'DCA Underwriting Assumptions'!$J$143:$K$148,2,FALSE)),Q31/($O$6*VLOOKUP(C31,'DCA Underwriting Assumptions'!$J$143:$K$148,2,FALSE))))</f>
        <v/>
      </c>
      <c r="S31" s="3266"/>
      <c r="T31" s="3267"/>
      <c r="U31" s="3222"/>
      <c r="V31" s="3223"/>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6" t="s">
        <v>1784</v>
      </c>
      <c r="C32" s="3257"/>
      <c r="D32" s="3258"/>
      <c r="E32" s="3259"/>
      <c r="F32" s="3259"/>
      <c r="G32" s="3259"/>
      <c r="H32" s="3259"/>
      <c r="I32" s="3260">
        <f>IF(C32="",0,HLOOKUP(C32,'Part V-Utility Allowances'!$I$11:$M$21,11))</f>
        <v>0</v>
      </c>
      <c r="J32" s="3261"/>
      <c r="K32" s="630">
        <f t="shared" si="1"/>
        <v>0</v>
      </c>
      <c r="L32" s="630">
        <f t="shared" si="2"/>
        <v>0</v>
      </c>
      <c r="M32" s="3262"/>
      <c r="N32" s="3262"/>
      <c r="O32" s="3262"/>
      <c r="P32" s="3263"/>
      <c r="Q32" s="3264" t="str">
        <f t="shared" si="3"/>
        <v/>
      </c>
      <c r="R32" s="3265" t="str">
        <f>IF(H32="","",IF(C32="Efficiency",Q32/($O$6*VLOOKUP(0,'DCA Underwriting Assumptions'!$J$143:$K$148,2,FALSE)),Q32/($O$6*VLOOKUP(C32,'DCA Underwriting Assumptions'!$J$143:$K$148,2,FALSE))))</f>
        <v/>
      </c>
      <c r="S32" s="3266"/>
      <c r="T32" s="3267"/>
      <c r="U32" s="3222"/>
      <c r="V32" s="3223"/>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6" t="s">
        <v>1784</v>
      </c>
      <c r="C33" s="3257"/>
      <c r="D33" s="3258"/>
      <c r="E33" s="3259"/>
      <c r="F33" s="3259"/>
      <c r="G33" s="3259"/>
      <c r="H33" s="3259"/>
      <c r="I33" s="3260">
        <f>IF(C33="",0,HLOOKUP(C33,'Part V-Utility Allowances'!$I$11:$M$21,11))</f>
        <v>0</v>
      </c>
      <c r="J33" s="3261"/>
      <c r="K33" s="630">
        <f t="shared" si="1"/>
        <v>0</v>
      </c>
      <c r="L33" s="630">
        <f t="shared" si="2"/>
        <v>0</v>
      </c>
      <c r="M33" s="3262"/>
      <c r="N33" s="3262"/>
      <c r="O33" s="3262"/>
      <c r="P33" s="3263"/>
      <c r="Q33" s="3264" t="str">
        <f t="shared" si="3"/>
        <v/>
      </c>
      <c r="R33" s="3265" t="str">
        <f>IF(H33="","",IF(C33="Efficiency",Q33/($O$6*VLOOKUP(0,'DCA Underwriting Assumptions'!$J$143:$K$148,2,FALSE)),Q33/($O$6*VLOOKUP(C33,'DCA Underwriting Assumptions'!$J$143:$K$148,2,FALSE))))</f>
        <v/>
      </c>
      <c r="S33" s="3266"/>
      <c r="T33" s="3267"/>
      <c r="U33" s="3222"/>
      <c r="V33" s="3223"/>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6" t="s">
        <v>1784</v>
      </c>
      <c r="C34" s="3257"/>
      <c r="D34" s="3258"/>
      <c r="E34" s="3259"/>
      <c r="F34" s="3259"/>
      <c r="G34" s="3259"/>
      <c r="H34" s="3259"/>
      <c r="I34" s="3260">
        <f>IF(C34="",0,HLOOKUP(C34,'Part V-Utility Allowances'!$I$11:$M$21,11))</f>
        <v>0</v>
      </c>
      <c r="J34" s="3261"/>
      <c r="K34" s="630">
        <f t="shared" si="1"/>
        <v>0</v>
      </c>
      <c r="L34" s="630">
        <f t="shared" si="2"/>
        <v>0</v>
      </c>
      <c r="M34" s="3262"/>
      <c r="N34" s="3262"/>
      <c r="O34" s="3262"/>
      <c r="P34" s="3263"/>
      <c r="Q34" s="3264" t="str">
        <f t="shared" si="3"/>
        <v/>
      </c>
      <c r="R34" s="3265" t="str">
        <f>IF(H34="","",IF(C34="Efficiency",Q34/($O$6*VLOOKUP(0,'DCA Underwriting Assumptions'!$J$143:$K$148,2,FALSE)),Q34/($O$6*VLOOKUP(C34,'DCA Underwriting Assumptions'!$J$143:$K$148,2,FALSE))))</f>
        <v/>
      </c>
      <c r="S34" s="3266"/>
      <c r="T34" s="3267"/>
      <c r="U34" s="3222"/>
      <c r="V34" s="3223"/>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6" t="s">
        <v>1784</v>
      </c>
      <c r="C35" s="3257"/>
      <c r="D35" s="3258"/>
      <c r="E35" s="3259"/>
      <c r="F35" s="3259"/>
      <c r="G35" s="3259"/>
      <c r="H35" s="3259"/>
      <c r="I35" s="3260">
        <f>IF(C35="",0,HLOOKUP(C35,'Part V-Utility Allowances'!$I$11:$M$21,11))</f>
        <v>0</v>
      </c>
      <c r="J35" s="3261"/>
      <c r="K35" s="630">
        <f t="shared" si="1"/>
        <v>0</v>
      </c>
      <c r="L35" s="630">
        <f t="shared" si="2"/>
        <v>0</v>
      </c>
      <c r="M35" s="3262"/>
      <c r="N35" s="3262"/>
      <c r="O35" s="3262"/>
      <c r="P35" s="3263"/>
      <c r="Q35" s="3264" t="str">
        <f t="shared" si="3"/>
        <v/>
      </c>
      <c r="R35" s="3265" t="str">
        <f>IF(H35="","",IF(C35="Efficiency",Q35/($O$6*VLOOKUP(0,'DCA Underwriting Assumptions'!$J$143:$K$148,2,FALSE)),Q35/($O$6*VLOOKUP(C35,'DCA Underwriting Assumptions'!$J$143:$K$148,2,FALSE))))</f>
        <v/>
      </c>
      <c r="S35" s="3266"/>
      <c r="T35" s="3267"/>
      <c r="U35" s="3222"/>
      <c r="V35" s="3223"/>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6" t="s">
        <v>1784</v>
      </c>
      <c r="C36" s="3257"/>
      <c r="D36" s="3258"/>
      <c r="E36" s="3259"/>
      <c r="F36" s="3259"/>
      <c r="G36" s="3259"/>
      <c r="H36" s="3259"/>
      <c r="I36" s="3260">
        <f>IF(C36="",0,HLOOKUP(C36,'Part V-Utility Allowances'!$I$11:$M$21,11))</f>
        <v>0</v>
      </c>
      <c r="J36" s="3261"/>
      <c r="K36" s="630">
        <f t="shared" si="1"/>
        <v>0</v>
      </c>
      <c r="L36" s="630">
        <f t="shared" si="2"/>
        <v>0</v>
      </c>
      <c r="M36" s="3262"/>
      <c r="N36" s="3262"/>
      <c r="O36" s="3262"/>
      <c r="P36" s="3263"/>
      <c r="Q36" s="3264" t="str">
        <f t="shared" si="3"/>
        <v/>
      </c>
      <c r="R36" s="3265" t="str">
        <f>IF(H36="","",IF(C36="Efficiency",Q36/($O$6*VLOOKUP(0,'DCA Underwriting Assumptions'!$J$143:$K$148,2,FALSE)),Q36/($O$6*VLOOKUP(C36,'DCA Underwriting Assumptions'!$J$143:$K$148,2,FALSE))))</f>
        <v/>
      </c>
      <c r="S36" s="3266"/>
      <c r="T36" s="3267"/>
      <c r="U36" s="3222"/>
      <c r="V36" s="3223"/>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6" t="s">
        <v>1784</v>
      </c>
      <c r="C37" s="3257"/>
      <c r="D37" s="3258"/>
      <c r="E37" s="3259"/>
      <c r="F37" s="3259"/>
      <c r="G37" s="3259"/>
      <c r="H37" s="3259"/>
      <c r="I37" s="3260">
        <f>IF(C37="",0,HLOOKUP(C37,'Part V-Utility Allowances'!$I$11:$M$21,11))</f>
        <v>0</v>
      </c>
      <c r="J37" s="3261"/>
      <c r="K37" s="630">
        <f t="shared" si="1"/>
        <v>0</v>
      </c>
      <c r="L37" s="630">
        <f t="shared" si="2"/>
        <v>0</v>
      </c>
      <c r="M37" s="3262"/>
      <c r="N37" s="3262"/>
      <c r="O37" s="3262"/>
      <c r="P37" s="3263"/>
      <c r="Q37" s="3264" t="str">
        <f t="shared" si="3"/>
        <v/>
      </c>
      <c r="R37" s="3265" t="str">
        <f>IF(H37="","",IF(C37="Efficiency",Q37/($O$6*VLOOKUP(0,'DCA Underwriting Assumptions'!$J$143:$K$148,2,FALSE)),Q37/($O$6*VLOOKUP(C37,'DCA Underwriting Assumptions'!$J$143:$K$148,2,FALSE))))</f>
        <v/>
      </c>
      <c r="S37" s="3266"/>
      <c r="T37" s="3267"/>
      <c r="U37" s="3222"/>
      <c r="V37" s="3223"/>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6" t="s">
        <v>1784</v>
      </c>
      <c r="C38" s="3257"/>
      <c r="D38" s="3258"/>
      <c r="E38" s="3259"/>
      <c r="F38" s="3259"/>
      <c r="G38" s="3259"/>
      <c r="H38" s="3259"/>
      <c r="I38" s="3260">
        <f>IF(C38="",0,HLOOKUP(C38,'Part V-Utility Allowances'!$I$11:$M$21,11))</f>
        <v>0</v>
      </c>
      <c r="J38" s="3261"/>
      <c r="K38" s="630">
        <f t="shared" si="1"/>
        <v>0</v>
      </c>
      <c r="L38" s="630">
        <f t="shared" si="2"/>
        <v>0</v>
      </c>
      <c r="M38" s="3262"/>
      <c r="N38" s="3262"/>
      <c r="O38" s="3262"/>
      <c r="P38" s="3263"/>
      <c r="Q38" s="3264" t="str">
        <f t="shared" si="3"/>
        <v/>
      </c>
      <c r="R38" s="3265" t="str">
        <f>IF(H38="","",IF(C38="Efficiency",Q38/($O$6*VLOOKUP(0,'DCA Underwriting Assumptions'!$J$143:$K$148,2,FALSE)),Q38/($O$6*VLOOKUP(C38,'DCA Underwriting Assumptions'!$J$143:$K$148,2,FALSE))))</f>
        <v/>
      </c>
      <c r="S38" s="3266"/>
      <c r="T38" s="3267"/>
      <c r="U38" s="3222"/>
      <c r="V38" s="3223"/>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6" t="s">
        <v>1784</v>
      </c>
      <c r="C39" s="3257"/>
      <c r="D39" s="3258"/>
      <c r="E39" s="3259"/>
      <c r="F39" s="3259"/>
      <c r="G39" s="3259"/>
      <c r="H39" s="3259"/>
      <c r="I39" s="3260">
        <f>IF(C39="",0,HLOOKUP(C39,'Part V-Utility Allowances'!$I$11:$M$21,11))</f>
        <v>0</v>
      </c>
      <c r="J39" s="3261"/>
      <c r="K39" s="630">
        <f t="shared" si="1"/>
        <v>0</v>
      </c>
      <c r="L39" s="630">
        <f t="shared" si="2"/>
        <v>0</v>
      </c>
      <c r="M39" s="3262"/>
      <c r="N39" s="3262"/>
      <c r="O39" s="3262"/>
      <c r="P39" s="3263"/>
      <c r="Q39" s="3264" t="str">
        <f t="shared" si="3"/>
        <v/>
      </c>
      <c r="R39" s="3265" t="str">
        <f>IF(H39="","",IF(C39="Efficiency",Q39/($O$6*VLOOKUP(0,'DCA Underwriting Assumptions'!$J$143:$K$148,2,FALSE)),Q39/($O$6*VLOOKUP(C39,'DCA Underwriting Assumptions'!$J$143:$K$148,2,FALSE))))</f>
        <v/>
      </c>
      <c r="S39" s="3266"/>
      <c r="T39" s="3267"/>
      <c r="U39" s="3222"/>
      <c r="V39" s="3223"/>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6" t="s">
        <v>1784</v>
      </c>
      <c r="C40" s="3257"/>
      <c r="D40" s="3258"/>
      <c r="E40" s="3259"/>
      <c r="F40" s="3259"/>
      <c r="G40" s="3259"/>
      <c r="H40" s="3259"/>
      <c r="I40" s="3260">
        <f>IF(C40="",0,HLOOKUP(C40,'Part V-Utility Allowances'!$I$11:$M$21,11))</f>
        <v>0</v>
      </c>
      <c r="J40" s="3261"/>
      <c r="K40" s="630">
        <f t="shared" si="1"/>
        <v>0</v>
      </c>
      <c r="L40" s="630">
        <f t="shared" si="2"/>
        <v>0</v>
      </c>
      <c r="M40" s="3262"/>
      <c r="N40" s="3262"/>
      <c r="O40" s="3262"/>
      <c r="P40" s="3263"/>
      <c r="Q40" s="3264" t="str">
        <f t="shared" si="3"/>
        <v/>
      </c>
      <c r="R40" s="3265" t="str">
        <f>IF(H40="","",IF(C40="Efficiency",Q40/($O$6*VLOOKUP(0,'DCA Underwriting Assumptions'!$J$143:$K$148,2,FALSE)),Q40/($O$6*VLOOKUP(C40,'DCA Underwriting Assumptions'!$J$143:$K$148,2,FALSE))))</f>
        <v/>
      </c>
      <c r="S40" s="3266"/>
      <c r="T40" s="3267"/>
      <c r="U40" s="3222"/>
      <c r="V40" s="3223"/>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6" t="s">
        <v>1784</v>
      </c>
      <c r="C41" s="3257"/>
      <c r="D41" s="3258"/>
      <c r="E41" s="3259"/>
      <c r="F41" s="3259"/>
      <c r="G41" s="3259"/>
      <c r="H41" s="3259"/>
      <c r="I41" s="3260">
        <f>IF(C41="",0,HLOOKUP(C41,'Part V-Utility Allowances'!$I$11:$M$21,11))</f>
        <v>0</v>
      </c>
      <c r="J41" s="3261"/>
      <c r="K41" s="630">
        <f t="shared" si="1"/>
        <v>0</v>
      </c>
      <c r="L41" s="630">
        <f t="shared" si="2"/>
        <v>0</v>
      </c>
      <c r="M41" s="3262"/>
      <c r="N41" s="3262"/>
      <c r="O41" s="3262"/>
      <c r="P41" s="3263"/>
      <c r="Q41" s="3264" t="str">
        <f t="shared" si="3"/>
        <v/>
      </c>
      <c r="R41" s="3265" t="str">
        <f>IF(H41="","",IF(C41="Efficiency",Q41/($O$6*VLOOKUP(0,'DCA Underwriting Assumptions'!$J$143:$K$148,2,FALSE)),Q41/($O$6*VLOOKUP(C41,'DCA Underwriting Assumptions'!$J$143:$K$148,2,FALSE))))</f>
        <v/>
      </c>
      <c r="S41" s="3266"/>
      <c r="T41" s="3267"/>
      <c r="U41" s="3222"/>
      <c r="V41" s="3223"/>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6" t="s">
        <v>1784</v>
      </c>
      <c r="C42" s="3257"/>
      <c r="D42" s="3258"/>
      <c r="E42" s="3259"/>
      <c r="F42" s="3259"/>
      <c r="G42" s="3259"/>
      <c r="H42" s="3259"/>
      <c r="I42" s="3260">
        <f>IF(C42="",0,HLOOKUP(C42,'Part V-Utility Allowances'!$I$11:$M$21,11))</f>
        <v>0</v>
      </c>
      <c r="J42" s="3261"/>
      <c r="K42" s="630">
        <f t="shared" si="1"/>
        <v>0</v>
      </c>
      <c r="L42" s="630">
        <f t="shared" si="2"/>
        <v>0</v>
      </c>
      <c r="M42" s="3262"/>
      <c r="N42" s="3262"/>
      <c r="O42" s="3262"/>
      <c r="P42" s="3263"/>
      <c r="Q42" s="3264" t="str">
        <f t="shared" si="3"/>
        <v/>
      </c>
      <c r="R42" s="3265" t="str">
        <f>IF(H42="","",IF(C42="Efficiency",Q42/($O$6*VLOOKUP(0,'DCA Underwriting Assumptions'!$J$143:$K$148,2,FALSE)),Q42/($O$6*VLOOKUP(C42,'DCA Underwriting Assumptions'!$J$143:$K$148,2,FALSE))))</f>
        <v/>
      </c>
      <c r="S42" s="3266"/>
      <c r="T42" s="3267"/>
      <c r="U42" s="3222"/>
      <c r="V42" s="3223"/>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6" t="s">
        <v>1784</v>
      </c>
      <c r="C43" s="3257"/>
      <c r="D43" s="3258"/>
      <c r="E43" s="3259"/>
      <c r="F43" s="3259"/>
      <c r="G43" s="3259"/>
      <c r="H43" s="3259"/>
      <c r="I43" s="3260">
        <f>IF(C43="",0,HLOOKUP(C43,'Part V-Utility Allowances'!$I$11:$M$21,11))</f>
        <v>0</v>
      </c>
      <c r="J43" s="3261"/>
      <c r="K43" s="630">
        <f t="shared" si="1"/>
        <v>0</v>
      </c>
      <c r="L43" s="630">
        <f t="shared" si="2"/>
        <v>0</v>
      </c>
      <c r="M43" s="3262"/>
      <c r="N43" s="3262"/>
      <c r="O43" s="3262"/>
      <c r="P43" s="3263"/>
      <c r="Q43" s="3264" t="str">
        <f t="shared" si="3"/>
        <v/>
      </c>
      <c r="R43" s="3265" t="str">
        <f>IF(H43="","",IF(C43="Efficiency",Q43/($O$6*VLOOKUP(0,'DCA Underwriting Assumptions'!$J$143:$K$148,2,FALSE)),Q43/($O$6*VLOOKUP(C43,'DCA Underwriting Assumptions'!$J$143:$K$148,2,FALSE))))</f>
        <v/>
      </c>
      <c r="S43" s="3266"/>
      <c r="T43" s="3267"/>
      <c r="U43" s="3222"/>
      <c r="V43" s="3223"/>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6" t="s">
        <v>1784</v>
      </c>
      <c r="C44" s="3257"/>
      <c r="D44" s="3258"/>
      <c r="E44" s="3259"/>
      <c r="F44" s="3259"/>
      <c r="G44" s="3259"/>
      <c r="H44" s="3259"/>
      <c r="I44" s="3260">
        <f>IF(C44="",0,HLOOKUP(C44,'Part V-Utility Allowances'!$I$11:$M$21,11))</f>
        <v>0</v>
      </c>
      <c r="J44" s="3261"/>
      <c r="K44" s="630">
        <f t="shared" si="1"/>
        <v>0</v>
      </c>
      <c r="L44" s="630">
        <f t="shared" si="2"/>
        <v>0</v>
      </c>
      <c r="M44" s="3262"/>
      <c r="N44" s="3262"/>
      <c r="O44" s="3262"/>
      <c r="P44" s="3263"/>
      <c r="Q44" s="3264" t="str">
        <f t="shared" si="3"/>
        <v/>
      </c>
      <c r="R44" s="3265" t="str">
        <f>IF(H44="","",IF(C44="Efficiency",Q44/($O$6*VLOOKUP(0,'DCA Underwriting Assumptions'!$J$143:$K$148,2,FALSE)),Q44/($O$6*VLOOKUP(C44,'DCA Underwriting Assumptions'!$J$143:$K$148,2,FALSE))))</f>
        <v/>
      </c>
      <c r="S44" s="3266"/>
      <c r="T44" s="3267"/>
      <c r="U44" s="3222"/>
      <c r="V44" s="3223"/>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6" t="s">
        <v>1784</v>
      </c>
      <c r="C45" s="3257"/>
      <c r="D45" s="3258"/>
      <c r="E45" s="3259"/>
      <c r="F45" s="3259"/>
      <c r="G45" s="3259"/>
      <c r="H45" s="3259"/>
      <c r="I45" s="3260">
        <f>IF(C45="",0,HLOOKUP(C45,'Part V-Utility Allowances'!$I$11:$M$21,11))</f>
        <v>0</v>
      </c>
      <c r="J45" s="3261"/>
      <c r="K45" s="630">
        <f t="shared" si="1"/>
        <v>0</v>
      </c>
      <c r="L45" s="630">
        <f t="shared" si="2"/>
        <v>0</v>
      </c>
      <c r="M45" s="3262"/>
      <c r="N45" s="3262"/>
      <c r="O45" s="3262"/>
      <c r="P45" s="3263"/>
      <c r="Q45" s="3264" t="str">
        <f t="shared" si="3"/>
        <v/>
      </c>
      <c r="R45" s="3265" t="str">
        <f>IF(H45="","",IF(C45="Efficiency",Q45/($O$6*VLOOKUP(0,'DCA Underwriting Assumptions'!$J$143:$K$148,2,FALSE)),Q45/($O$6*VLOOKUP(C45,'DCA Underwriting Assumptions'!$J$143:$K$148,2,FALSE))))</f>
        <v/>
      </c>
      <c r="S45" s="3266"/>
      <c r="T45" s="3267"/>
      <c r="U45" s="3222"/>
      <c r="V45" s="3223"/>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6" t="s">
        <v>1784</v>
      </c>
      <c r="C46" s="3257"/>
      <c r="D46" s="3258"/>
      <c r="E46" s="3259"/>
      <c r="F46" s="3259"/>
      <c r="G46" s="3259"/>
      <c r="H46" s="3259"/>
      <c r="I46" s="3260">
        <f>IF(C46="",0,HLOOKUP(C46,'Part V-Utility Allowances'!$I$11:$M$21,11))</f>
        <v>0</v>
      </c>
      <c r="J46" s="3261"/>
      <c r="K46" s="630">
        <f t="shared" si="1"/>
        <v>0</v>
      </c>
      <c r="L46" s="630">
        <f t="shared" si="2"/>
        <v>0</v>
      </c>
      <c r="M46" s="3262"/>
      <c r="N46" s="3262"/>
      <c r="O46" s="3262"/>
      <c r="P46" s="3263"/>
      <c r="Q46" s="3264" t="str">
        <f t="shared" si="3"/>
        <v/>
      </c>
      <c r="R46" s="3265" t="str">
        <f>IF(H46="","",IF(C46="Efficiency",Q46/($O$6*VLOOKUP(0,'DCA Underwriting Assumptions'!$J$143:$K$148,2,FALSE)),Q46/($O$6*VLOOKUP(C46,'DCA Underwriting Assumptions'!$J$143:$K$148,2,FALSE))))</f>
        <v/>
      </c>
      <c r="S46" s="3266"/>
      <c r="T46" s="3267"/>
      <c r="U46" s="3222"/>
      <c r="V46" s="3223"/>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8" t="s">
        <v>1784</v>
      </c>
      <c r="C47" s="3269"/>
      <c r="D47" s="3270"/>
      <c r="E47" s="3271"/>
      <c r="F47" s="3271"/>
      <c r="G47" s="3271"/>
      <c r="H47" s="3271"/>
      <c r="I47" s="3272">
        <f>IF(C47="",0,HLOOKUP(C47,'Part V-Utility Allowances'!$I$11:$M$21,11))</f>
        <v>0</v>
      </c>
      <c r="J47" s="3273"/>
      <c r="K47" s="631">
        <f t="shared" si="1"/>
        <v>0</v>
      </c>
      <c r="L47" s="631">
        <f t="shared" si="2"/>
        <v>0</v>
      </c>
      <c r="M47" s="3274"/>
      <c r="N47" s="3274"/>
      <c r="O47" s="3274"/>
      <c r="P47" s="3275"/>
      <c r="Q47" s="3276" t="str">
        <f t="shared" si="3"/>
        <v/>
      </c>
      <c r="R47" s="3277" t="str">
        <f>IF(H47="","",IF(C47="Efficiency",Q47/($O$6*VLOOKUP(0,'DCA Underwriting Assumptions'!$J$143:$K$148,2,FALSE)),Q47/($O$6*VLOOKUP(C47,'DCA Underwriting Assumptions'!$J$143:$K$148,2,FALSE))))</f>
        <v/>
      </c>
      <c r="S47" s="3278"/>
      <c r="T47" s="3279"/>
      <c r="U47" s="3228"/>
      <c r="V47" s="3229"/>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72</v>
      </c>
      <c r="F48" s="974">
        <f>(E10*F10+E11*F11+E12*F12+E13*F13+E14*F14+E15*F15+E16*F16+E17*F17+E18*F18+E19*F19+E20*F20+E21*F21+E22*F22+E23*F23+E24*F24+E25*F25+E26*F26+E27*F27+E28*F28+E29*F29+E30*F30+E31*F31+E32*F32+E33*F33+E34*F34+E35*F35+E36*F36+E37*F37+E38*F38+E39*F39+E40*F40+E41*F41+E42*F42+E43*F43+E44*F44+E45*F45+E46*F46+E47*F47)</f>
        <v>63822</v>
      </c>
      <c r="G48" s="603"/>
      <c r="H48" s="604"/>
      <c r="I48" s="604"/>
      <c r="J48" s="604"/>
      <c r="K48" s="977" t="s">
        <v>1314</v>
      </c>
      <c r="L48" s="127">
        <f>SUM(L10:L47)</f>
        <v>48575</v>
      </c>
      <c r="M48" s="97"/>
      <c r="N48" s="605"/>
      <c r="O48" s="97"/>
      <c r="P48" s="490"/>
      <c r="Q48" s="490"/>
      <c r="R48" s="490"/>
      <c r="S48" s="490"/>
      <c r="T48" s="490"/>
      <c r="U48" s="955"/>
      <c r="V48" s="606"/>
      <c r="W48" s="607">
        <f t="shared" ref="W48:CH48" si="259">SUM(W10:W47)</f>
        <v>0</v>
      </c>
      <c r="X48" s="607">
        <f t="shared" si="259"/>
        <v>20</v>
      </c>
      <c r="Y48" s="607">
        <f t="shared" si="259"/>
        <v>27</v>
      </c>
      <c r="Z48" s="607">
        <f t="shared" si="259"/>
        <v>0</v>
      </c>
      <c r="AA48" s="607">
        <f t="shared" si="259"/>
        <v>0</v>
      </c>
      <c r="AB48" s="607">
        <f t="shared" si="259"/>
        <v>0</v>
      </c>
      <c r="AC48" s="607">
        <f t="shared" si="259"/>
        <v>6</v>
      </c>
      <c r="AD48" s="607">
        <f t="shared" si="259"/>
        <v>9</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4</v>
      </c>
      <c r="AN48" s="607">
        <f t="shared" si="259"/>
        <v>6</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14520</v>
      </c>
      <c r="CB48" s="607">
        <f t="shared" si="259"/>
        <v>27027</v>
      </c>
      <c r="CC48" s="607">
        <f t="shared" si="259"/>
        <v>0</v>
      </c>
      <c r="CD48" s="607">
        <f t="shared" si="259"/>
        <v>0</v>
      </c>
      <c r="CE48" s="607">
        <f t="shared" si="259"/>
        <v>0</v>
      </c>
      <c r="CF48" s="607">
        <f t="shared" si="259"/>
        <v>4356</v>
      </c>
      <c r="CG48" s="607">
        <f t="shared" si="259"/>
        <v>9009</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2904</v>
      </c>
      <c r="CQ48" s="607">
        <f t="shared" si="260"/>
        <v>6006</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26</v>
      </c>
      <c r="DF48" s="607">
        <f t="shared" si="260"/>
        <v>36</v>
      </c>
      <c r="DG48" s="607">
        <f t="shared" si="260"/>
        <v>0</v>
      </c>
      <c r="DH48" s="607">
        <f t="shared" si="260"/>
        <v>0</v>
      </c>
      <c r="DI48" s="607">
        <f t="shared" si="260"/>
        <v>0</v>
      </c>
      <c r="DJ48" s="607">
        <f t="shared" si="260"/>
        <v>4</v>
      </c>
      <c r="DK48" s="607">
        <f t="shared" si="260"/>
        <v>6</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30</v>
      </c>
      <c r="EY48" s="476">
        <f t="shared" si="261"/>
        <v>42</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30</v>
      </c>
      <c r="HV48" s="476">
        <f t="shared" si="262"/>
        <v>42</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30</v>
      </c>
      <c r="JJ48" s="476">
        <f t="shared" si="262"/>
        <v>42</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582900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80"/>
      <c r="C51" s="3280"/>
      <c r="D51" s="3280"/>
      <c r="E51" s="3280"/>
      <c r="F51" s="3280"/>
      <c r="G51" s="3280"/>
      <c r="H51" s="3280"/>
      <c r="I51" s="3280"/>
      <c r="J51" s="3280"/>
      <c r="K51" s="3280"/>
      <c r="L51" s="3280"/>
      <c r="M51" s="3280"/>
      <c r="N51" s="3280"/>
      <c r="O51" s="3280"/>
      <c r="P51" s="3280"/>
      <c r="Q51" s="328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80"/>
      <c r="B52" s="3280"/>
      <c r="C52" s="3280"/>
      <c r="D52" s="3280"/>
      <c r="E52" s="3280"/>
      <c r="F52" s="3280"/>
      <c r="G52" s="3280"/>
      <c r="H52" s="3280"/>
      <c r="I52" s="3280"/>
      <c r="J52" s="3280"/>
      <c r="K52" s="3280"/>
      <c r="L52" s="3280"/>
      <c r="M52" s="3280"/>
      <c r="N52" s="3280"/>
      <c r="O52" s="3280"/>
      <c r="P52" s="3280"/>
      <c r="Q52" s="328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20</v>
      </c>
      <c r="L56" s="1029">
        <f>Y48</f>
        <v>27</v>
      </c>
      <c r="M56" s="1029">
        <f>Z48</f>
        <v>0</v>
      </c>
      <c r="N56" s="1029">
        <f>AA48</f>
        <v>0</v>
      </c>
      <c r="O56" s="1029">
        <f t="shared" ref="O56:O62" si="263">SUM(J56:N56)</f>
        <v>47</v>
      </c>
      <c r="P56" s="1868" t="s">
        <v>3695</v>
      </c>
      <c r="Q56" s="1594"/>
      <c r="R56" s="3220"/>
      <c r="S56" s="3282"/>
      <c r="T56" s="3282"/>
      <c r="U56" s="3282"/>
      <c r="V56" s="3221"/>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6</v>
      </c>
      <c r="L57" s="636">
        <f>AD48</f>
        <v>9</v>
      </c>
      <c r="M57" s="636">
        <f>AE48</f>
        <v>0</v>
      </c>
      <c r="N57" s="636">
        <f>AF48</f>
        <v>0</v>
      </c>
      <c r="O57" s="636">
        <f t="shared" si="263"/>
        <v>15</v>
      </c>
      <c r="P57" s="1868"/>
      <c r="Q57" s="1594"/>
      <c r="R57" s="3222"/>
      <c r="S57" s="3283"/>
      <c r="T57" s="3283"/>
      <c r="U57" s="3283"/>
      <c r="V57" s="3223"/>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26</v>
      </c>
      <c r="L58" s="632">
        <f>SUM(L56:L57)</f>
        <v>36</v>
      </c>
      <c r="M58" s="632">
        <f>SUM(M56:M57)</f>
        <v>0</v>
      </c>
      <c r="N58" s="632">
        <f>SUM(N56:N57)</f>
        <v>0</v>
      </c>
      <c r="O58" s="632">
        <f t="shared" si="263"/>
        <v>62</v>
      </c>
      <c r="P58" s="1868"/>
      <c r="R58" s="3222"/>
      <c r="S58" s="3283"/>
      <c r="T58" s="3283"/>
      <c r="U58" s="3283"/>
      <c r="V58" s="3223"/>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4</v>
      </c>
      <c r="L59" s="633">
        <f>AN48</f>
        <v>6</v>
      </c>
      <c r="M59" s="633">
        <f>AO48</f>
        <v>0</v>
      </c>
      <c r="N59" s="633">
        <f>AP48</f>
        <v>0</v>
      </c>
      <c r="O59" s="633">
        <f t="shared" si="263"/>
        <v>10</v>
      </c>
      <c r="R59" s="3222"/>
      <c r="S59" s="3283"/>
      <c r="T59" s="3283"/>
      <c r="U59" s="3283"/>
      <c r="V59" s="3223"/>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30</v>
      </c>
      <c r="L60" s="632">
        <f>SUM(L58:L59)</f>
        <v>42</v>
      </c>
      <c r="M60" s="632">
        <f>SUM(M58:M59)</f>
        <v>0</v>
      </c>
      <c r="N60" s="632">
        <f>SUM(N58:N59)</f>
        <v>0</v>
      </c>
      <c r="O60" s="632">
        <f t="shared" si="263"/>
        <v>72</v>
      </c>
      <c r="R60" s="3222"/>
      <c r="S60" s="3283"/>
      <c r="T60" s="3283"/>
      <c r="U60" s="3283"/>
      <c r="V60" s="3223"/>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22"/>
      <c r="S61" s="3283"/>
      <c r="T61" s="3283"/>
      <c r="U61" s="3283"/>
      <c r="V61" s="3223"/>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30</v>
      </c>
      <c r="L62" s="634">
        <f>SUM(L60:L61)</f>
        <v>42</v>
      </c>
      <c r="M62" s="634">
        <f>SUM(M60:M61)</f>
        <v>0</v>
      </c>
      <c r="N62" s="634">
        <f>SUM(N60:N61)</f>
        <v>0</v>
      </c>
      <c r="O62" s="634">
        <f t="shared" si="263"/>
        <v>72</v>
      </c>
      <c r="R62" s="3228"/>
      <c r="S62" s="3284"/>
      <c r="T62" s="3284"/>
      <c r="U62" s="3284"/>
      <c r="V62" s="3229"/>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20"/>
      <c r="S64" s="3282"/>
      <c r="T64" s="3282"/>
      <c r="U64" s="3282"/>
      <c r="V64" s="3221"/>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22"/>
      <c r="S65" s="3283"/>
      <c r="T65" s="3283"/>
      <c r="U65" s="3283"/>
      <c r="V65" s="3223"/>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8"/>
      <c r="S66" s="3284"/>
      <c r="T66" s="3284"/>
      <c r="U66" s="3284"/>
      <c r="V66" s="3229"/>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20"/>
      <c r="S68" s="3282"/>
      <c r="T68" s="3282"/>
      <c r="U68" s="3282"/>
      <c r="V68" s="3221"/>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2"/>
      <c r="S69" s="3283"/>
      <c r="T69" s="3283"/>
      <c r="U69" s="3283"/>
      <c r="V69" s="3223"/>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8"/>
      <c r="S70" s="3284"/>
      <c r="T70" s="3284"/>
      <c r="U70" s="3284"/>
      <c r="V70" s="3229"/>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26</v>
      </c>
      <c r="L72" s="632">
        <f>DF48</f>
        <v>36</v>
      </c>
      <c r="M72" s="632">
        <f>DG48</f>
        <v>0</v>
      </c>
      <c r="N72" s="632">
        <f>DH48</f>
        <v>0</v>
      </c>
      <c r="O72" s="632">
        <f t="shared" ref="O72:O82" si="264">SUM(J72:N72)</f>
        <v>62</v>
      </c>
      <c r="R72" s="3220"/>
      <c r="S72" s="3282"/>
      <c r="T72" s="3282"/>
      <c r="U72" s="3282"/>
      <c r="V72" s="3221"/>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4</v>
      </c>
      <c r="L73" s="633">
        <f>DK48</f>
        <v>6</v>
      </c>
      <c r="M73" s="633">
        <f>DL48</f>
        <v>0</v>
      </c>
      <c r="N73" s="633">
        <f>DM48</f>
        <v>0</v>
      </c>
      <c r="O73" s="633">
        <f t="shared" si="264"/>
        <v>10</v>
      </c>
      <c r="R73" s="3222"/>
      <c r="S73" s="3283"/>
      <c r="T73" s="3283"/>
      <c r="U73" s="3283"/>
      <c r="V73" s="3223"/>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30</v>
      </c>
      <c r="L74" s="634">
        <f>SUM(L72:L73)+DP48</f>
        <v>42</v>
      </c>
      <c r="M74" s="634">
        <f>SUM(M72:M73)+DQ48</f>
        <v>0</v>
      </c>
      <c r="N74" s="634">
        <f>SUM(N72:N73)+DR48</f>
        <v>0</v>
      </c>
      <c r="O74" s="634">
        <f t="shared" si="264"/>
        <v>72</v>
      </c>
      <c r="R74" s="3222"/>
      <c r="S74" s="3283"/>
      <c r="T74" s="3283"/>
      <c r="U74" s="3283"/>
      <c r="V74" s="3223"/>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22"/>
      <c r="S75" s="3283"/>
      <c r="T75" s="3283"/>
      <c r="U75" s="3283"/>
      <c r="V75" s="3223"/>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2"/>
      <c r="S76" s="3283"/>
      <c r="T76" s="3283"/>
      <c r="U76" s="3283"/>
      <c r="V76" s="3223"/>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2"/>
      <c r="S77" s="3283"/>
      <c r="T77" s="3283"/>
      <c r="U77" s="3283"/>
      <c r="V77" s="3223"/>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22"/>
      <c r="S78" s="3283"/>
      <c r="T78" s="3283"/>
      <c r="U78" s="3283"/>
      <c r="V78" s="3223"/>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2"/>
      <c r="S79" s="3283"/>
      <c r="T79" s="3283"/>
      <c r="U79" s="3283"/>
      <c r="V79" s="3223"/>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2"/>
      <c r="S80" s="3283"/>
      <c r="T80" s="3283"/>
      <c r="U80" s="3283"/>
      <c r="V80" s="3223"/>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5"/>
      <c r="K81" s="3285"/>
      <c r="L81" s="3285"/>
      <c r="M81" s="3285"/>
      <c r="N81" s="3285"/>
      <c r="O81" s="632">
        <f t="shared" si="264"/>
        <v>0</v>
      </c>
      <c r="R81" s="3222"/>
      <c r="S81" s="3283"/>
      <c r="T81" s="3283"/>
      <c r="U81" s="3283"/>
      <c r="V81" s="3223"/>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6"/>
      <c r="K82" s="3286"/>
      <c r="L82" s="3286"/>
      <c r="M82" s="3286"/>
      <c r="N82" s="3286"/>
      <c r="O82" s="633">
        <f t="shared" si="264"/>
        <v>0</v>
      </c>
      <c r="R82" s="3222"/>
      <c r="S82" s="3283"/>
      <c r="T82" s="3283"/>
      <c r="U82" s="3283"/>
      <c r="V82" s="3223"/>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2"/>
      <c r="S83" s="3283"/>
      <c r="T83" s="3283"/>
      <c r="U83" s="3283"/>
      <c r="V83" s="3223"/>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8"/>
      <c r="S84" s="3284"/>
      <c r="T84" s="3284"/>
      <c r="U84" s="3284"/>
      <c r="V84" s="3229"/>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4130</v>
      </c>
      <c r="D86" s="1861"/>
      <c r="E86" s="1263" t="s">
        <v>40</v>
      </c>
      <c r="F86" s="1059"/>
      <c r="G86" s="1264"/>
      <c r="H86" s="1265"/>
      <c r="I86" s="1266"/>
      <c r="J86" s="645">
        <f t="shared" ref="J86:O86" si="265">SUM(J87:J94)</f>
        <v>0</v>
      </c>
      <c r="K86" s="645">
        <f t="shared" si="265"/>
        <v>30</v>
      </c>
      <c r="L86" s="645">
        <f t="shared" si="265"/>
        <v>42</v>
      </c>
      <c r="M86" s="645">
        <f t="shared" si="265"/>
        <v>0</v>
      </c>
      <c r="N86" s="645">
        <f t="shared" si="265"/>
        <v>0</v>
      </c>
      <c r="O86" s="645">
        <f t="shared" si="265"/>
        <v>72</v>
      </c>
      <c r="R86" s="3220"/>
      <c r="S86" s="3282"/>
      <c r="T86" s="3282"/>
      <c r="U86" s="3282"/>
      <c r="V86" s="3221"/>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22"/>
      <c r="S87" s="3283"/>
      <c r="T87" s="3283"/>
      <c r="U87" s="3283"/>
      <c r="V87" s="3223"/>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22"/>
      <c r="S88" s="3283"/>
      <c r="T88" s="3283"/>
      <c r="U88" s="3283"/>
      <c r="V88" s="3223"/>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22"/>
      <c r="S89" s="3283"/>
      <c r="T89" s="3283"/>
      <c r="U89" s="3283"/>
      <c r="V89" s="3223"/>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22"/>
      <c r="S90" s="3283"/>
      <c r="T90" s="3283"/>
      <c r="U90" s="3283"/>
      <c r="V90" s="3223"/>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22"/>
      <c r="S91" s="3283"/>
      <c r="T91" s="3283"/>
      <c r="U91" s="3283"/>
      <c r="V91" s="3223"/>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22"/>
      <c r="S92" s="3283"/>
      <c r="T92" s="3283"/>
      <c r="U92" s="3283"/>
      <c r="V92" s="3223"/>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30</v>
      </c>
      <c r="L93" s="1022">
        <f>HV48</f>
        <v>42</v>
      </c>
      <c r="M93" s="1022">
        <f>HW48</f>
        <v>0</v>
      </c>
      <c r="N93" s="1022">
        <f>HX48</f>
        <v>0</v>
      </c>
      <c r="O93" s="637">
        <f t="shared" si="266"/>
        <v>72</v>
      </c>
      <c r="R93" s="3222"/>
      <c r="S93" s="3283"/>
      <c r="T93" s="3283"/>
      <c r="U93" s="3283"/>
      <c r="V93" s="3223"/>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22"/>
      <c r="S94" s="3283"/>
      <c r="T94" s="3283"/>
      <c r="U94" s="3283"/>
      <c r="V94" s="3223"/>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2"/>
      <c r="S95" s="3283"/>
      <c r="T95" s="3283"/>
      <c r="U95" s="3283"/>
      <c r="V95" s="3223"/>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22"/>
      <c r="S96" s="3283"/>
      <c r="T96" s="3283"/>
      <c r="U96" s="3283"/>
      <c r="V96" s="3223"/>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2"/>
      <c r="S97" s="3283"/>
      <c r="T97" s="3283"/>
      <c r="U97" s="3283"/>
      <c r="V97" s="3223"/>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22"/>
      <c r="S98" s="3283"/>
      <c r="T98" s="3283"/>
      <c r="U98" s="3283"/>
      <c r="V98" s="3223"/>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2"/>
      <c r="S99" s="3283"/>
      <c r="T99" s="3283"/>
      <c r="U99" s="3283"/>
      <c r="V99" s="3223"/>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22"/>
      <c r="S100" s="3283"/>
      <c r="T100" s="3283"/>
      <c r="U100" s="3283"/>
      <c r="V100" s="3223"/>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2"/>
      <c r="S101" s="3283"/>
      <c r="T101" s="3283"/>
      <c r="U101" s="3283"/>
      <c r="V101" s="3223"/>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8"/>
      <c r="S102" s="3284"/>
      <c r="T102" s="3284"/>
      <c r="U102" s="3284"/>
      <c r="V102" s="3229"/>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4129</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20"/>
      <c r="S104" s="3282"/>
      <c r="T104" s="3282"/>
      <c r="U104" s="3282"/>
      <c r="V104" s="3221"/>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22"/>
      <c r="S105" s="3283"/>
      <c r="T105" s="3283"/>
      <c r="U105" s="3283"/>
      <c r="V105" s="3223"/>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2"/>
      <c r="S106" s="3283"/>
      <c r="T106" s="3283"/>
      <c r="U106" s="3283"/>
      <c r="V106" s="3223"/>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22"/>
      <c r="S107" s="3283"/>
      <c r="T107" s="3283"/>
      <c r="U107" s="3283"/>
      <c r="V107" s="3223"/>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22"/>
      <c r="S108" s="3283"/>
      <c r="T108" s="3283"/>
      <c r="U108" s="3283"/>
      <c r="V108" s="3223"/>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22"/>
      <c r="S109" s="3283"/>
      <c r="T109" s="3283"/>
      <c r="U109" s="3283"/>
      <c r="V109" s="3223"/>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30</v>
      </c>
      <c r="L110" s="1025">
        <f t="shared" si="271"/>
        <v>42</v>
      </c>
      <c r="M110" s="1025">
        <f t="shared" si="271"/>
        <v>0</v>
      </c>
      <c r="N110" s="1025">
        <f t="shared" si="271"/>
        <v>0</v>
      </c>
      <c r="O110" s="1025">
        <f t="shared" si="268"/>
        <v>72</v>
      </c>
      <c r="R110" s="3222"/>
      <c r="S110" s="3283"/>
      <c r="T110" s="3283"/>
      <c r="U110" s="3283"/>
      <c r="V110" s="3223"/>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8"/>
      <c r="S111" s="3284"/>
      <c r="T111" s="3284"/>
      <c r="U111" s="3284"/>
      <c r="V111" s="3229"/>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14520</v>
      </c>
      <c r="L113" s="1027">
        <f>CB48</f>
        <v>27027</v>
      </c>
      <c r="M113" s="1027">
        <f>CC48</f>
        <v>0</v>
      </c>
      <c r="N113" s="1027">
        <f>CD48</f>
        <v>0</v>
      </c>
      <c r="O113" s="1027">
        <f t="shared" ref="O113:O119" si="272">SUM(J113:N113)</f>
        <v>41547</v>
      </c>
      <c r="R113" s="3220"/>
      <c r="S113" s="3282"/>
      <c r="T113" s="3282"/>
      <c r="U113" s="3282"/>
      <c r="V113" s="3221"/>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4356</v>
      </c>
      <c r="L114" s="1028">
        <f>CG48</f>
        <v>9009</v>
      </c>
      <c r="M114" s="1028">
        <f>CH48</f>
        <v>0</v>
      </c>
      <c r="N114" s="1028">
        <f>CI48</f>
        <v>0</v>
      </c>
      <c r="O114" s="1028">
        <f t="shared" si="272"/>
        <v>13365</v>
      </c>
      <c r="R114" s="3222"/>
      <c r="S114" s="3283"/>
      <c r="T114" s="3283"/>
      <c r="U114" s="3283"/>
      <c r="V114" s="3223"/>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18876</v>
      </c>
      <c r="L115" s="641">
        <f>SUM(L113:L114)</f>
        <v>36036</v>
      </c>
      <c r="M115" s="641">
        <f>SUM(M113:M114)</f>
        <v>0</v>
      </c>
      <c r="N115" s="641">
        <f>SUM(N113:N114)</f>
        <v>0</v>
      </c>
      <c r="O115" s="641">
        <f t="shared" si="272"/>
        <v>54912</v>
      </c>
      <c r="R115" s="3222"/>
      <c r="S115" s="3283"/>
      <c r="T115" s="3283"/>
      <c r="U115" s="3283"/>
      <c r="V115" s="3223"/>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2904</v>
      </c>
      <c r="L116" s="642">
        <f>CQ48</f>
        <v>6006</v>
      </c>
      <c r="M116" s="642">
        <f>CR48</f>
        <v>0</v>
      </c>
      <c r="N116" s="642">
        <f>CS48</f>
        <v>0</v>
      </c>
      <c r="O116" s="642">
        <f t="shared" si="272"/>
        <v>8910</v>
      </c>
      <c r="R116" s="3222"/>
      <c r="S116" s="3283"/>
      <c r="T116" s="3283"/>
      <c r="U116" s="3283"/>
      <c r="V116" s="3223"/>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21780</v>
      </c>
      <c r="L117" s="641">
        <f>SUM(L115:L116)</f>
        <v>42042</v>
      </c>
      <c r="M117" s="641">
        <f>SUM(M115:M116)</f>
        <v>0</v>
      </c>
      <c r="N117" s="641">
        <f>SUM(N115:N116)</f>
        <v>0</v>
      </c>
      <c r="O117" s="641">
        <f t="shared" si="272"/>
        <v>63822</v>
      </c>
      <c r="R117" s="3222"/>
      <c r="S117" s="3283"/>
      <c r="T117" s="3283"/>
      <c r="U117" s="3283"/>
      <c r="V117" s="3223"/>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22"/>
      <c r="S118" s="3283"/>
      <c r="T118" s="3283"/>
      <c r="U118" s="3283"/>
      <c r="V118" s="3223"/>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21780</v>
      </c>
      <c r="L119" s="643">
        <f>SUM(L117:L118)</f>
        <v>42042</v>
      </c>
      <c r="M119" s="643">
        <f>SUM(M117:M118)</f>
        <v>0</v>
      </c>
      <c r="N119" s="643">
        <f>SUM(N117:N118)</f>
        <v>0</v>
      </c>
      <c r="O119" s="643">
        <f t="shared" si="272"/>
        <v>63822</v>
      </c>
      <c r="R119" s="3228"/>
      <c r="S119" s="3284"/>
      <c r="T119" s="3284"/>
      <c r="U119" s="3284"/>
      <c r="V119" s="3229"/>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7">
        <f>'Part VII-Pro Forma'!B9*L49</f>
        <v>11658</v>
      </c>
      <c r="I122" s="3288"/>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9"/>
      <c r="H126" s="3289"/>
      <c r="I126" s="3289"/>
      <c r="J126" s="3289"/>
      <c r="K126" s="3290"/>
      <c r="L126" s="3289"/>
      <c r="M126" s="3289"/>
      <c r="N126" s="3289"/>
      <c r="O126" s="3289"/>
      <c r="P126" s="3289"/>
      <c r="Q126" s="926"/>
      <c r="R126" s="3220"/>
      <c r="S126" s="3282"/>
      <c r="T126" s="3282"/>
      <c r="U126" s="3282"/>
      <c r="V126" s="3221"/>
    </row>
    <row r="127" spans="1:263" ht="11.25" customHeight="1">
      <c r="B127" s="113" t="s">
        <v>749</v>
      </c>
      <c r="C127" s="3291"/>
      <c r="D127" s="3292"/>
      <c r="E127" s="3292"/>
      <c r="F127" s="3293"/>
      <c r="G127" s="3294"/>
      <c r="H127" s="3294"/>
      <c r="I127" s="3294"/>
      <c r="J127" s="3294"/>
      <c r="K127" s="3295"/>
      <c r="L127" s="3294"/>
      <c r="M127" s="3294"/>
      <c r="N127" s="3294"/>
      <c r="O127" s="3294"/>
      <c r="P127" s="3294"/>
      <c r="Q127" s="926"/>
      <c r="R127" s="3222"/>
      <c r="S127" s="3283"/>
      <c r="T127" s="3283"/>
      <c r="U127" s="3283"/>
      <c r="V127" s="3223"/>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8"/>
      <c r="S128" s="3284"/>
      <c r="T128" s="3284"/>
      <c r="U128" s="3284"/>
      <c r="V128" s="3229"/>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9"/>
      <c r="H130" s="3289"/>
      <c r="I130" s="3289"/>
      <c r="J130" s="3289"/>
      <c r="K130" s="3290"/>
      <c r="L130" s="3289"/>
      <c r="M130" s="3289"/>
      <c r="N130" s="3289"/>
      <c r="O130" s="3289"/>
      <c r="P130" s="3289"/>
      <c r="Q130" s="926"/>
      <c r="R130" s="3220"/>
      <c r="S130" s="3282"/>
      <c r="T130" s="3282"/>
      <c r="U130" s="3282"/>
      <c r="V130" s="3221"/>
    </row>
    <row r="131" spans="2:22" ht="11.25" customHeight="1">
      <c r="B131" s="113" t="s">
        <v>749</v>
      </c>
      <c r="C131" s="3291"/>
      <c r="D131" s="3292"/>
      <c r="E131" s="3292"/>
      <c r="F131" s="3293"/>
      <c r="G131" s="3294"/>
      <c r="H131" s="3294"/>
      <c r="I131" s="3294"/>
      <c r="J131" s="3294"/>
      <c r="K131" s="3295"/>
      <c r="L131" s="3294"/>
      <c r="M131" s="3294"/>
      <c r="N131" s="3294"/>
      <c r="O131" s="3294"/>
      <c r="P131" s="3294"/>
      <c r="Q131" s="926"/>
      <c r="R131" s="3222"/>
      <c r="S131" s="3283"/>
      <c r="T131" s="3283"/>
      <c r="U131" s="3283"/>
      <c r="V131" s="3223"/>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8"/>
      <c r="S132" s="3284"/>
      <c r="T132" s="3284"/>
      <c r="U132" s="3284"/>
      <c r="V132" s="3229"/>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9"/>
      <c r="H135" s="3289"/>
      <c r="I135" s="3289"/>
      <c r="J135" s="3289"/>
      <c r="K135" s="3290"/>
      <c r="L135" s="3289"/>
      <c r="M135" s="3289"/>
      <c r="N135" s="3289"/>
      <c r="O135" s="3289"/>
      <c r="P135" s="3289"/>
      <c r="Q135" s="926"/>
      <c r="R135" s="3220"/>
      <c r="S135" s="3282"/>
      <c r="T135" s="3282"/>
      <c r="U135" s="3282"/>
      <c r="V135" s="3221"/>
    </row>
    <row r="136" spans="2:22" ht="11.25" customHeight="1">
      <c r="B136" s="113" t="s">
        <v>749</v>
      </c>
      <c r="C136" s="3291"/>
      <c r="D136" s="3292"/>
      <c r="E136" s="3292"/>
      <c r="F136" s="3293"/>
      <c r="G136" s="3294"/>
      <c r="H136" s="3294"/>
      <c r="I136" s="3294"/>
      <c r="J136" s="3294"/>
      <c r="K136" s="3295"/>
      <c r="L136" s="3294"/>
      <c r="M136" s="3294"/>
      <c r="N136" s="3294"/>
      <c r="O136" s="3294"/>
      <c r="P136" s="3294"/>
      <c r="Q136" s="926"/>
      <c r="R136" s="3222"/>
      <c r="S136" s="3283"/>
      <c r="T136" s="3283"/>
      <c r="U136" s="3283"/>
      <c r="V136" s="3223"/>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8"/>
      <c r="S137" s="3284"/>
      <c r="T137" s="3284"/>
      <c r="U137" s="3284"/>
      <c r="V137" s="3229"/>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9"/>
      <c r="H139" s="3289"/>
      <c r="I139" s="3289"/>
      <c r="J139" s="3289"/>
      <c r="K139" s="3290"/>
      <c r="L139" s="3289"/>
      <c r="M139" s="3289"/>
      <c r="N139" s="3289"/>
      <c r="O139" s="3289"/>
      <c r="P139" s="3289"/>
      <c r="Q139" s="926"/>
      <c r="R139" s="3220"/>
      <c r="S139" s="3282"/>
      <c r="T139" s="3282"/>
      <c r="U139" s="3282"/>
      <c r="V139" s="3221"/>
    </row>
    <row r="140" spans="2:22" ht="11.25" customHeight="1">
      <c r="B140" s="113" t="s">
        <v>749</v>
      </c>
      <c r="C140" s="3291"/>
      <c r="D140" s="3292"/>
      <c r="E140" s="3292"/>
      <c r="F140" s="3293"/>
      <c r="G140" s="3294"/>
      <c r="H140" s="3294"/>
      <c r="I140" s="3294"/>
      <c r="J140" s="3294"/>
      <c r="K140" s="3295"/>
      <c r="L140" s="3294"/>
      <c r="M140" s="3294"/>
      <c r="N140" s="3294"/>
      <c r="O140" s="3294"/>
      <c r="P140" s="3294"/>
      <c r="Q140" s="926"/>
      <c r="R140" s="3222"/>
      <c r="S140" s="3283"/>
      <c r="T140" s="3283"/>
      <c r="U140" s="3283"/>
      <c r="V140" s="3223"/>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8"/>
      <c r="S141" s="3284"/>
      <c r="T141" s="3284"/>
      <c r="U141" s="3284"/>
      <c r="V141" s="3229"/>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9"/>
      <c r="H144" s="3289"/>
      <c r="I144" s="3289"/>
      <c r="J144" s="3289"/>
      <c r="K144" s="3290"/>
      <c r="L144" s="3289"/>
      <c r="M144" s="3289"/>
      <c r="N144" s="3289"/>
      <c r="O144" s="3289"/>
      <c r="P144" s="3289"/>
      <c r="Q144" s="926"/>
      <c r="R144" s="3220"/>
      <c r="S144" s="3282"/>
      <c r="T144" s="3282"/>
      <c r="U144" s="3282"/>
      <c r="V144" s="3221"/>
    </row>
    <row r="145" spans="2:22" ht="11.25" customHeight="1">
      <c r="B145" s="113" t="s">
        <v>749</v>
      </c>
      <c r="C145" s="3291"/>
      <c r="D145" s="3292"/>
      <c r="E145" s="3292"/>
      <c r="F145" s="3293"/>
      <c r="G145" s="3294"/>
      <c r="H145" s="3294"/>
      <c r="I145" s="3294"/>
      <c r="J145" s="3294"/>
      <c r="K145" s="3295"/>
      <c r="L145" s="3294"/>
      <c r="M145" s="3294"/>
      <c r="N145" s="3294"/>
      <c r="O145" s="3294"/>
      <c r="P145" s="3294"/>
      <c r="Q145" s="926"/>
      <c r="R145" s="3222"/>
      <c r="S145" s="3283"/>
      <c r="T145" s="3283"/>
      <c r="U145" s="3283"/>
      <c r="V145" s="3223"/>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8"/>
      <c r="S146" s="3284"/>
      <c r="T146" s="3284"/>
      <c r="U146" s="3284"/>
      <c r="V146" s="3229"/>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9"/>
      <c r="H148" s="3289"/>
      <c r="I148" s="3289"/>
      <c r="J148" s="3289"/>
      <c r="K148" s="3290"/>
      <c r="L148" s="3289"/>
      <c r="M148" s="3289"/>
      <c r="N148" s="3289"/>
      <c r="O148" s="3289"/>
      <c r="P148" s="3289"/>
      <c r="Q148" s="926"/>
      <c r="R148" s="3220"/>
      <c r="S148" s="3282"/>
      <c r="T148" s="3282"/>
      <c r="U148" s="3282"/>
      <c r="V148" s="3221"/>
    </row>
    <row r="149" spans="2:22" ht="11.25" customHeight="1">
      <c r="B149" s="113" t="s">
        <v>749</v>
      </c>
      <c r="C149" s="3291"/>
      <c r="D149" s="3292"/>
      <c r="E149" s="3292"/>
      <c r="F149" s="3293"/>
      <c r="G149" s="3294"/>
      <c r="H149" s="3294"/>
      <c r="I149" s="3294"/>
      <c r="J149" s="3294"/>
      <c r="K149" s="3295"/>
      <c r="L149" s="3294"/>
      <c r="M149" s="3294"/>
      <c r="N149" s="3294"/>
      <c r="O149" s="3294"/>
      <c r="P149" s="3294"/>
      <c r="Q149" s="926"/>
      <c r="R149" s="3222"/>
      <c r="S149" s="3283"/>
      <c r="T149" s="3283"/>
      <c r="U149" s="3283"/>
      <c r="V149" s="3223"/>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8"/>
      <c r="S150" s="3284"/>
      <c r="T150" s="3284"/>
      <c r="U150" s="3284"/>
      <c r="V150" s="3229"/>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9"/>
      <c r="H153" s="3289"/>
      <c r="I153" s="3289"/>
      <c r="J153" s="3289"/>
      <c r="K153" s="3290"/>
      <c r="L153" s="92"/>
      <c r="M153" s="92"/>
      <c r="N153" s="92"/>
      <c r="O153" s="92"/>
      <c r="P153" s="92"/>
      <c r="Q153" s="8"/>
      <c r="R153" s="3220"/>
      <c r="S153" s="3282"/>
      <c r="T153" s="3282"/>
      <c r="U153" s="3282"/>
      <c r="V153" s="3221"/>
    </row>
    <row r="154" spans="2:22" ht="11.25" customHeight="1">
      <c r="B154" s="113" t="s">
        <v>749</v>
      </c>
      <c r="C154" s="3291"/>
      <c r="D154" s="3292"/>
      <c r="E154" s="3292"/>
      <c r="F154" s="3293"/>
      <c r="G154" s="3294"/>
      <c r="H154" s="3294"/>
      <c r="I154" s="3294"/>
      <c r="J154" s="3294"/>
      <c r="K154" s="3295"/>
      <c r="L154" s="92"/>
      <c r="M154" s="92"/>
      <c r="N154" s="92"/>
      <c r="O154" s="92"/>
      <c r="P154" s="92"/>
      <c r="Q154" s="8"/>
      <c r="R154" s="3222"/>
      <c r="S154" s="3283"/>
      <c r="T154" s="3283"/>
      <c r="U154" s="3283"/>
      <c r="V154" s="3223"/>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8"/>
      <c r="S155" s="3284"/>
      <c r="T155" s="3284"/>
      <c r="U155" s="3284"/>
      <c r="V155" s="3229"/>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9"/>
      <c r="H157" s="3289"/>
      <c r="I157" s="3289"/>
      <c r="J157" s="3289"/>
      <c r="K157" s="3290"/>
      <c r="L157" s="92"/>
      <c r="M157" s="92"/>
      <c r="N157" s="92"/>
      <c r="O157" s="92"/>
      <c r="P157" s="92"/>
      <c r="Q157" s="8"/>
      <c r="R157" s="3220"/>
      <c r="S157" s="3282"/>
      <c r="T157" s="3282"/>
      <c r="U157" s="3282"/>
      <c r="V157" s="3221"/>
    </row>
    <row r="158" spans="2:22" ht="11.25" customHeight="1">
      <c r="B158" s="113" t="s">
        <v>749</v>
      </c>
      <c r="C158" s="3291"/>
      <c r="D158" s="3292"/>
      <c r="E158" s="3292"/>
      <c r="F158" s="3293"/>
      <c r="G158" s="3294"/>
      <c r="H158" s="3294"/>
      <c r="I158" s="3294"/>
      <c r="J158" s="3294"/>
      <c r="K158" s="3295"/>
      <c r="L158" s="92"/>
      <c r="M158" s="92"/>
      <c r="N158" s="92"/>
      <c r="O158" s="92"/>
      <c r="P158" s="92"/>
      <c r="Q158" s="8"/>
      <c r="R158" s="3222"/>
      <c r="S158" s="3283"/>
      <c r="T158" s="3283"/>
      <c r="U158" s="3283"/>
      <c r="V158" s="3223"/>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8"/>
      <c r="S159" s="3284"/>
      <c r="T159" s="3284"/>
      <c r="U159" s="3284"/>
      <c r="V159" s="3229"/>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20"/>
      <c r="S163" s="3282"/>
      <c r="T163" s="3282"/>
      <c r="U163" s="3282"/>
      <c r="V163" s="3221"/>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6">
        <v>58000</v>
      </c>
      <c r="G164" s="3297"/>
      <c r="H164" s="1"/>
      <c r="I164" s="1" t="s">
        <v>1390</v>
      </c>
      <c r="J164" s="1"/>
      <c r="K164" s="3296"/>
      <c r="L164" s="3297"/>
      <c r="M164" s="1"/>
      <c r="N164" s="1" t="s">
        <v>938</v>
      </c>
      <c r="O164" s="1"/>
      <c r="P164" s="3298">
        <v>48323</v>
      </c>
      <c r="Q164" s="926"/>
      <c r="R164" s="3222"/>
      <c r="S164" s="3283"/>
      <c r="T164" s="3283"/>
      <c r="U164" s="3283"/>
      <c r="V164" s="3223"/>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6">
        <v>48000</v>
      </c>
      <c r="G165" s="3297"/>
      <c r="H165" s="1"/>
      <c r="I165" s="1" t="s">
        <v>1391</v>
      </c>
      <c r="J165" s="1"/>
      <c r="K165" s="3296">
        <v>2400</v>
      </c>
      <c r="L165" s="3297"/>
      <c r="M165" s="1"/>
      <c r="N165" s="1" t="s">
        <v>148</v>
      </c>
      <c r="O165" s="1"/>
      <c r="P165" s="3298">
        <v>20332</v>
      </c>
      <c r="Q165" s="926"/>
      <c r="R165" s="3222"/>
      <c r="S165" s="3283"/>
      <c r="T165" s="3283"/>
      <c r="U165" s="3283"/>
      <c r="V165" s="3223"/>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6"/>
      <c r="G166" s="3297"/>
      <c r="H166" s="1"/>
      <c r="I166" s="1"/>
      <c r="J166" s="126" t="s">
        <v>193</v>
      </c>
      <c r="K166" s="1858">
        <f>SUM(K164:L165)</f>
        <v>2400</v>
      </c>
      <c r="L166" s="1859"/>
      <c r="M166" s="1"/>
      <c r="N166" s="3299" t="s">
        <v>52</v>
      </c>
      <c r="O166" s="3300"/>
      <c r="P166" s="3301"/>
      <c r="Q166" s="926"/>
      <c r="R166" s="3222"/>
      <c r="S166" s="3283"/>
      <c r="T166" s="3283"/>
      <c r="U166" s="3283"/>
      <c r="V166" s="3223"/>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2" t="s">
        <v>4671</v>
      </c>
      <c r="C167" s="3303"/>
      <c r="D167" s="3303"/>
      <c r="E167" s="3304"/>
      <c r="F167" s="3305">
        <v>0</v>
      </c>
      <c r="G167" s="3306"/>
      <c r="H167" s="1"/>
      <c r="I167" s="1"/>
      <c r="J167" s="1"/>
      <c r="K167" s="1"/>
      <c r="L167" s="1"/>
      <c r="M167" s="1"/>
      <c r="N167" s="12" t="s">
        <v>193</v>
      </c>
      <c r="O167" s="1"/>
      <c r="P167" s="419">
        <f>SUM(P164:P166)</f>
        <v>68655</v>
      </c>
      <c r="Q167" s="926"/>
      <c r="R167" s="3222"/>
      <c r="S167" s="3283"/>
      <c r="T167" s="3283"/>
      <c r="U167" s="3283"/>
      <c r="V167" s="3223"/>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106000</v>
      </c>
      <c r="G168" s="1859"/>
      <c r="H168" s="1"/>
      <c r="I168" s="1"/>
      <c r="J168" s="13"/>
      <c r="K168" s="1"/>
      <c r="L168" s="1"/>
      <c r="M168" s="1"/>
      <c r="N168" s="1"/>
      <c r="O168" s="1"/>
      <c r="P168" s="1"/>
      <c r="Q168" s="1"/>
      <c r="R168" s="3222"/>
      <c r="S168" s="3283"/>
      <c r="T168" s="3283"/>
      <c r="U168" s="3283"/>
      <c r="V168" s="3223"/>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2"/>
      <c r="S169" s="3283"/>
      <c r="T169" s="3283"/>
      <c r="U169" s="3283"/>
      <c r="V169" s="3223"/>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33176</v>
      </c>
      <c r="Q170" s="927"/>
      <c r="R170" s="3222"/>
      <c r="S170" s="3283"/>
      <c r="T170" s="3283"/>
      <c r="U170" s="3283"/>
      <c r="V170" s="3223"/>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6">
        <v>4500</v>
      </c>
      <c r="G171" s="3297"/>
      <c r="H171" s="1"/>
      <c r="I171" s="1" t="s">
        <v>1614</v>
      </c>
      <c r="J171" s="1"/>
      <c r="K171" s="3307">
        <v>2350</v>
      </c>
      <c r="L171" s="3308"/>
      <c r="M171" s="1"/>
      <c r="N171" s="408">
        <f>+P170/(O62*0.93)</f>
        <v>495.45997610513734</v>
      </c>
      <c r="O171" s="69" t="s">
        <v>2774</v>
      </c>
      <c r="P171" s="1"/>
      <c r="Q171" s="1"/>
      <c r="R171" s="3222"/>
      <c r="S171" s="3283"/>
      <c r="T171" s="3283"/>
      <c r="U171" s="3283"/>
      <c r="V171" s="3223"/>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6">
        <v>4500</v>
      </c>
      <c r="G172" s="3297"/>
      <c r="H172" s="1"/>
      <c r="I172" s="1" t="s">
        <v>2065</v>
      </c>
      <c r="J172" s="1"/>
      <c r="K172" s="3309">
        <v>8500</v>
      </c>
      <c r="L172" s="3310"/>
      <c r="M172" s="1"/>
      <c r="N172" s="408">
        <f>+P170/(O62*0.93)/12</f>
        <v>41.288331342094779</v>
      </c>
      <c r="O172" s="69" t="s">
        <v>2775</v>
      </c>
      <c r="P172" s="1"/>
      <c r="Q172" s="1"/>
      <c r="R172" s="3222"/>
      <c r="S172" s="3283"/>
      <c r="T172" s="3283"/>
      <c r="U172" s="3283"/>
      <c r="V172" s="3223"/>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6">
        <v>1900</v>
      </c>
      <c r="G173" s="3297"/>
      <c r="H173" s="1"/>
      <c r="I173" s="1" t="s">
        <v>1615</v>
      </c>
      <c r="J173" s="1"/>
      <c r="K173" s="3309">
        <v>2500</v>
      </c>
      <c r="L173" s="3310"/>
      <c r="M173" s="1"/>
      <c r="N173" s="37" t="s">
        <v>3756</v>
      </c>
      <c r="O173" s="1041"/>
      <c r="P173" s="1041"/>
      <c r="Q173" s="1604"/>
      <c r="R173" s="3222"/>
      <c r="S173" s="3283"/>
      <c r="T173" s="3283"/>
      <c r="U173" s="3283"/>
      <c r="V173" s="3223"/>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6"/>
      <c r="G174" s="3297"/>
      <c r="H174" s="1"/>
      <c r="I174" s="3299" t="s">
        <v>52</v>
      </c>
      <c r="J174" s="3300"/>
      <c r="K174" s="3307"/>
      <c r="L174" s="3308"/>
      <c r="M174" s="1"/>
      <c r="N174" s="1041"/>
      <c r="O174" s="1041"/>
      <c r="P174" s="1041"/>
      <c r="Q174" s="1604"/>
      <c r="R174" s="3222"/>
      <c r="S174" s="3283"/>
      <c r="T174" s="3283"/>
      <c r="U174" s="3283"/>
      <c r="V174" s="3223"/>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6">
        <v>5500</v>
      </c>
      <c r="G175" s="3297"/>
      <c r="H175" s="1"/>
      <c r="I175" s="10"/>
      <c r="J175" s="12" t="s">
        <v>193</v>
      </c>
      <c r="K175" s="1850">
        <f>SUM(K171:K174)</f>
        <v>13350</v>
      </c>
      <c r="L175" s="1851"/>
      <c r="M175" s="1860" t="str">
        <f>IF(P177="","",IF(P175&lt;P177, "WARNING! OE below required minimum.",""))</f>
        <v/>
      </c>
      <c r="N175" s="10" t="s">
        <v>2202</v>
      </c>
      <c r="O175" s="5"/>
      <c r="P175" s="417">
        <f>F168+F177+F188+K166+K175+K185+P167+P170</f>
        <v>336600</v>
      </c>
      <c r="R175" s="3222"/>
      <c r="S175" s="3283"/>
      <c r="T175" s="3283"/>
      <c r="U175" s="3283"/>
      <c r="V175" s="3223"/>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11" t="s">
        <v>4672</v>
      </c>
      <c r="C176" s="3312"/>
      <c r="D176" s="3312"/>
      <c r="E176" s="3313"/>
      <c r="F176" s="3305">
        <v>2900</v>
      </c>
      <c r="G176" s="3306"/>
      <c r="H176" s="1"/>
      <c r="I176" s="1"/>
      <c r="J176" s="13"/>
      <c r="K176" s="1"/>
      <c r="L176" s="1"/>
      <c r="M176" s="1860"/>
      <c r="N176" s="69" t="s">
        <v>2776</v>
      </c>
      <c r="O176" s="408">
        <f>+P175/O62</f>
        <v>4675</v>
      </c>
      <c r="Q176" s="926"/>
      <c r="R176" s="3222"/>
      <c r="S176" s="3283"/>
      <c r="T176" s="3283"/>
      <c r="U176" s="3283"/>
      <c r="V176" s="3223"/>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19300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252000</v>
      </c>
      <c r="R177" s="3222"/>
      <c r="S177" s="3283"/>
      <c r="T177" s="3283"/>
      <c r="U177" s="3283"/>
      <c r="V177" s="3223"/>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2"/>
      <c r="S178" s="3283"/>
      <c r="T178" s="3283"/>
      <c r="U178" s="3283"/>
      <c r="V178" s="3223"/>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14">
        <f>P188</f>
        <v>18000</v>
      </c>
      <c r="Q179" s="927"/>
      <c r="R179" s="3222"/>
      <c r="S179" s="3283"/>
      <c r="T179" s="3283"/>
      <c r="U179" s="3283"/>
      <c r="V179" s="3223"/>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5">
        <v>4560</v>
      </c>
      <c r="G180" s="3316"/>
      <c r="H180" s="1"/>
      <c r="I180" s="1" t="s">
        <v>1380</v>
      </c>
      <c r="J180" s="481">
        <f>K180/12/O62</f>
        <v>17.939814814814817</v>
      </c>
      <c r="K180" s="3309">
        <v>15500</v>
      </c>
      <c r="L180" s="3310"/>
      <c r="M180" s="1854" t="str">
        <f>IF(P179&lt;P188, "WARNING! RR proposed is below the DCA required minimum.","")</f>
        <v/>
      </c>
      <c r="N180" s="1064" t="s">
        <v>3765</v>
      </c>
      <c r="O180" s="1059"/>
      <c r="P180" s="1065">
        <f>P179/O188</f>
        <v>250</v>
      </c>
      <c r="Q180" s="3317"/>
      <c r="R180" s="3222"/>
      <c r="S180" s="3283"/>
      <c r="T180" s="3283"/>
      <c r="U180" s="3283"/>
      <c r="V180" s="3223"/>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5">
        <f>19000-63+2</f>
        <v>18939</v>
      </c>
      <c r="G181" s="3316"/>
      <c r="H181" s="1"/>
      <c r="I181" s="1" t="s">
        <v>1381</v>
      </c>
      <c r="J181" s="481">
        <f>K181/12/O62</f>
        <v>0</v>
      </c>
      <c r="K181" s="3309"/>
      <c r="L181" s="3310"/>
      <c r="M181" s="1854"/>
      <c r="N181" s="1855" t="s">
        <v>3764</v>
      </c>
      <c r="O181" s="1856"/>
      <c r="P181" s="1857"/>
      <c r="R181" s="3222"/>
      <c r="S181" s="3283"/>
      <c r="T181" s="3283"/>
      <c r="U181" s="3283"/>
      <c r="V181" s="3223"/>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5">
        <v>19250</v>
      </c>
      <c r="G182" s="3316"/>
      <c r="H182" s="1"/>
      <c r="I182" s="1" t="s">
        <v>2368</v>
      </c>
      <c r="J182" s="481">
        <f>K182/12/O62</f>
        <v>8.6805555555555554</v>
      </c>
      <c r="K182" s="3309">
        <v>7500</v>
      </c>
      <c r="L182" s="3310"/>
      <c r="M182" s="1854"/>
      <c r="N182" s="1058" t="s">
        <v>2732</v>
      </c>
      <c r="O182" s="922" t="s">
        <v>3877</v>
      </c>
      <c r="P182" s="1060" t="s">
        <v>3460</v>
      </c>
      <c r="Q182" s="922"/>
      <c r="R182" s="3222"/>
      <c r="S182" s="3283"/>
      <c r="T182" s="3283"/>
      <c r="U182" s="3283"/>
      <c r="V182" s="3223"/>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6">
        <v>7200</v>
      </c>
      <c r="G183" s="3297"/>
      <c r="H183" s="1"/>
      <c r="I183" s="1" t="s">
        <v>1383</v>
      </c>
      <c r="J183" s="1"/>
      <c r="K183" s="3309">
        <v>6250</v>
      </c>
      <c r="L183" s="3310"/>
      <c r="M183" s="1854"/>
      <c r="N183" s="672" t="s">
        <v>40</v>
      </c>
      <c r="O183" s="673"/>
      <c r="P183" s="674"/>
      <c r="Q183" s="673"/>
      <c r="R183" s="3222"/>
      <c r="S183" s="3283"/>
      <c r="T183" s="3283"/>
      <c r="U183" s="3283"/>
      <c r="V183" s="3223"/>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6">
        <v>10200</v>
      </c>
      <c r="G184" s="3297"/>
      <c r="H184" s="1"/>
      <c r="I184" s="3299" t="s">
        <v>52</v>
      </c>
      <c r="J184" s="3300"/>
      <c r="K184" s="3307"/>
      <c r="L184" s="3308"/>
      <c r="M184" s="1854"/>
      <c r="N184" s="516" t="s">
        <v>3452</v>
      </c>
      <c r="O184" s="929" t="str">
        <f>CONCATENATE(SUM(JC48:JG48)," units x $",'DCA Underwriting Assumptions'!$Q$65," =")</f>
        <v>0 units x $350 =</v>
      </c>
      <c r="P184" s="675">
        <f>SUM(JC48:JG48)*'DCA Underwriting Assumptions'!$Q$65</f>
        <v>0</v>
      </c>
      <c r="Q184" s="929"/>
      <c r="R184" s="3222"/>
      <c r="S184" s="3283"/>
      <c r="T184" s="3283"/>
      <c r="U184" s="3283"/>
      <c r="V184" s="3223"/>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6"/>
      <c r="G185" s="3297"/>
      <c r="H185" s="1"/>
      <c r="I185" s="1"/>
      <c r="J185" s="12" t="s">
        <v>193</v>
      </c>
      <c r="K185" s="1850">
        <f>SUM(K180:K184)</f>
        <v>29250</v>
      </c>
      <c r="L185" s="1851"/>
      <c r="M185" s="1854"/>
      <c r="N185" s="516" t="s">
        <v>3451</v>
      </c>
      <c r="O185" s="929" t="str">
        <f>CONCATENATE(SUM(JH48:JL48)," units x $",'DCA Underwriting Assumptions'!$Q$66," =")</f>
        <v>72 units x $250 =</v>
      </c>
      <c r="P185" s="675">
        <f>SUM(JH48:JL48)*'DCA Underwriting Assumptions'!$Q$66</f>
        <v>18000</v>
      </c>
      <c r="Q185" s="929"/>
      <c r="R185" s="3222"/>
      <c r="S185" s="3283"/>
      <c r="T185" s="3283"/>
      <c r="U185" s="3283"/>
      <c r="V185" s="3223"/>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6">
        <v>4320</v>
      </c>
      <c r="G186" s="3297"/>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22"/>
      <c r="S186" s="3283"/>
      <c r="T186" s="3283"/>
      <c r="U186" s="3283"/>
      <c r="V186" s="3223"/>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11" t="s">
        <v>52</v>
      </c>
      <c r="C187" s="3312"/>
      <c r="D187" s="3312"/>
      <c r="E187" s="3313"/>
      <c r="F187" s="3305"/>
      <c r="G187" s="3306"/>
      <c r="H187" s="1"/>
      <c r="I187" s="1"/>
      <c r="J187" s="13"/>
      <c r="K187" s="1"/>
      <c r="L187" s="1"/>
      <c r="M187" s="1"/>
      <c r="N187" s="676" t="s">
        <v>3450</v>
      </c>
      <c r="O187" s="929" t="str">
        <f>CONCATENATE(O84," units x $",'DCA Underwriting Assumptions'!$Q$67," =")</f>
        <v>0 units x $420 =</v>
      </c>
      <c r="P187" s="675">
        <f>O84*'DCA Underwriting Assumptions'!$Q$67</f>
        <v>0</v>
      </c>
      <c r="Q187" s="929"/>
      <c r="R187" s="3222"/>
      <c r="S187" s="3283"/>
      <c r="T187" s="3283"/>
      <c r="U187" s="3283"/>
      <c r="V187" s="3223"/>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64469</v>
      </c>
      <c r="G188" s="1853"/>
      <c r="H188" s="1"/>
      <c r="I188" s="1"/>
      <c r="J188" s="13"/>
      <c r="K188" s="1"/>
      <c r="L188" s="1"/>
      <c r="M188" s="1"/>
      <c r="N188" s="1061" t="s">
        <v>2735</v>
      </c>
      <c r="O188" s="1062">
        <f>SUM(JC48:JG48)+SUM(JH48:JL48)+SUM(JM48:JQ48)+O84</f>
        <v>72</v>
      </c>
      <c r="P188" s="1063">
        <f>SUM(P184:P187)</f>
        <v>18000</v>
      </c>
      <c r="Q188" s="929"/>
      <c r="R188" s="3228"/>
      <c r="S188" s="3284"/>
      <c r="T188" s="3284"/>
      <c r="U188" s="3284"/>
      <c r="V188" s="3229"/>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354600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3318" t="s">
        <v>4751</v>
      </c>
      <c r="B193" s="3318"/>
      <c r="C193" s="3318"/>
      <c r="D193" s="3318"/>
      <c r="E193" s="3318"/>
      <c r="F193" s="3318"/>
      <c r="G193" s="3318"/>
      <c r="H193" s="3318"/>
      <c r="I193" s="3318"/>
      <c r="J193" s="3318"/>
      <c r="K193" s="3318"/>
      <c r="L193" s="3318"/>
      <c r="M193" s="3319"/>
      <c r="N193" s="3319"/>
      <c r="O193" s="3319"/>
      <c r="P193" s="3319"/>
      <c r="Q193" s="1847" t="s">
        <v>4152</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I3Q4Zp5F08PQDhF/cy1ozqb2ejT3kW3/hP44DzuaI0xZOwwg5DgQfMxhnuZ5H83IY828+OA2iDrd3nIF2yPZSA==" saltValue="ChOvv1mh6VYFE2+M8dE2k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C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2018-035 Peaks of Cartersville, Cartersville, Bartow County</v>
      </c>
      <c r="B1" s="3217"/>
      <c r="C1" s="3217"/>
      <c r="D1" s="3217"/>
      <c r="E1" s="3217"/>
      <c r="F1" s="3217"/>
      <c r="G1" s="3217"/>
      <c r="H1" s="3217"/>
      <c r="I1" s="3217"/>
      <c r="J1" s="3217"/>
      <c r="K1" s="3218"/>
      <c r="L1" s="10"/>
      <c r="M1" s="10"/>
      <c r="N1" s="1890" t="str">
        <f>A1</f>
        <v>PART SEVEN - OPERATING PRO FORMA  -  2018-035 Peaks of Cartersville, Cartersville, Bartow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4230</v>
      </c>
      <c r="N3" s="14" t="str">
        <f>A3</f>
        <v>I.  OPERATING ASSUMPTIONS</v>
      </c>
      <c r="O3" s="32"/>
    </row>
    <row r="4" spans="1:19" ht="2.4500000000000002" customHeight="1">
      <c r="A4" s="17"/>
      <c r="B4" s="17"/>
      <c r="C4" s="17"/>
      <c r="H4" s="17"/>
      <c r="I4" s="17"/>
    </row>
    <row r="5" spans="1:19" ht="13.5" customHeight="1">
      <c r="A5" s="17" t="s">
        <v>2204</v>
      </c>
      <c r="B5" s="80">
        <v>0.02</v>
      </c>
      <c r="C5" s="17"/>
      <c r="D5" s="1862" t="s">
        <v>4231</v>
      </c>
      <c r="E5" s="1862"/>
      <c r="F5" s="1862"/>
      <c r="G5" s="3219">
        <v>5000</v>
      </c>
      <c r="H5" s="99" t="s">
        <v>1922</v>
      </c>
      <c r="K5" s="104">
        <f>IF(($B$14+$B$15+$B$16+$B$17)=0,"",B28/($B$14+$B$15+$B$16+$B$17))</f>
        <v>-9.0425897658790323E-3</v>
      </c>
      <c r="N5" s="3220"/>
      <c r="O5" s="3221"/>
    </row>
    <row r="6" spans="1:19">
      <c r="A6" s="17" t="s">
        <v>2205</v>
      </c>
      <c r="B6" s="80">
        <v>0.03</v>
      </c>
      <c r="C6" s="17"/>
      <c r="D6" s="1862"/>
      <c r="E6" s="1862"/>
      <c r="F6" s="1862"/>
      <c r="G6" s="1364">
        <f>IF(OR('Part III-Sources of Funds'!B11="Yes",'Part III-Sources of Funds'!E11&gt;0),'DCA Underwriting Assumptions'!$Q$95,0)</f>
        <v>0</v>
      </c>
      <c r="H6" s="17"/>
      <c r="I6" s="17"/>
      <c r="J6" s="17"/>
      <c r="K6" s="17"/>
      <c r="N6" s="3222"/>
      <c r="O6" s="3223"/>
    </row>
    <row r="7" spans="1:19">
      <c r="A7" s="17" t="s">
        <v>2207</v>
      </c>
      <c r="B7" s="80">
        <v>0.03</v>
      </c>
      <c r="C7" s="17"/>
      <c r="D7" s="82" t="s">
        <v>272</v>
      </c>
      <c r="G7" s="84"/>
      <c r="H7" s="99" t="s">
        <v>2390</v>
      </c>
      <c r="K7" s="104">
        <f>IF(($B$14+$B$15+$B$16+$B$17)=0,"",-B20/($B$14+$B$15+$B$16+$B$17))</f>
        <v>5.9999391614560554E-2</v>
      </c>
      <c r="N7" s="3222"/>
      <c r="O7" s="3223"/>
    </row>
    <row r="8" spans="1:19" ht="13.15" customHeight="1">
      <c r="A8" s="17" t="s">
        <v>2206</v>
      </c>
      <c r="B8" s="3224">
        <v>7.0000000000000007E-2</v>
      </c>
      <c r="C8" s="17"/>
      <c r="D8" s="81" t="s">
        <v>2525</v>
      </c>
      <c r="G8" s="3225" t="s">
        <v>3014</v>
      </c>
      <c r="H8" s="169" t="s">
        <v>1456</v>
      </c>
      <c r="K8" s="3226"/>
      <c r="N8" s="3222"/>
      <c r="O8" s="3223"/>
    </row>
    <row r="9" spans="1:19">
      <c r="A9" s="17" t="s">
        <v>1430</v>
      </c>
      <c r="B9" s="80">
        <v>0.02</v>
      </c>
      <c r="D9" s="81" t="s">
        <v>1731</v>
      </c>
      <c r="G9" s="3225" t="s">
        <v>3011</v>
      </c>
      <c r="H9" s="169" t="s">
        <v>2372</v>
      </c>
      <c r="K9" s="3227">
        <v>0.06</v>
      </c>
      <c r="N9" s="3228"/>
      <c r="O9" s="3229"/>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582900</v>
      </c>
      <c r="C14" s="20">
        <f t="shared" ref="C14:K14" si="1">$B$14*(1+$B$5)^(C13-1)</f>
        <v>594558</v>
      </c>
      <c r="D14" s="20">
        <f t="shared" si="1"/>
        <v>606449.16</v>
      </c>
      <c r="E14" s="20">
        <f t="shared" si="1"/>
        <v>618578.14319999993</v>
      </c>
      <c r="F14" s="20">
        <f t="shared" si="1"/>
        <v>630949.70606400003</v>
      </c>
      <c r="G14" s="20">
        <f t="shared" si="1"/>
        <v>643568.70018528006</v>
      </c>
      <c r="H14" s="20">
        <f t="shared" si="1"/>
        <v>656440.07418898563</v>
      </c>
      <c r="I14" s="20">
        <f t="shared" si="1"/>
        <v>669568.87567276519</v>
      </c>
      <c r="J14" s="20">
        <f t="shared" si="1"/>
        <v>682960.25318622054</v>
      </c>
      <c r="K14" s="21">
        <f t="shared" si="1"/>
        <v>696619.45824994496</v>
      </c>
      <c r="N14" s="3220"/>
      <c r="O14" s="3221"/>
      <c r="S14" s="1885" t="s">
        <v>4236</v>
      </c>
    </row>
    <row r="15" spans="1:19" ht="13.15" customHeight="1">
      <c r="A15" s="22" t="s">
        <v>1026</v>
      </c>
      <c r="B15" s="23">
        <f>MIN(B14*B9,'Part VI-Revenues &amp; Expenses'!$H$122)</f>
        <v>11658</v>
      </c>
      <c r="C15" s="23">
        <f t="shared" ref="C15:K15" si="2">$B$15*(1+$B$5)^(C13-1)</f>
        <v>11891.16</v>
      </c>
      <c r="D15" s="23">
        <f t="shared" si="2"/>
        <v>12128.983200000001</v>
      </c>
      <c r="E15" s="23">
        <f t="shared" si="2"/>
        <v>12371.562864</v>
      </c>
      <c r="F15" s="23">
        <f t="shared" si="2"/>
        <v>12618.99412128</v>
      </c>
      <c r="G15" s="23">
        <f t="shared" si="2"/>
        <v>12871.3740037056</v>
      </c>
      <c r="H15" s="23">
        <f t="shared" si="2"/>
        <v>13128.801483779713</v>
      </c>
      <c r="I15" s="23">
        <f t="shared" si="2"/>
        <v>13391.377513455303</v>
      </c>
      <c r="J15" s="23">
        <f t="shared" si="2"/>
        <v>13659.205063724412</v>
      </c>
      <c r="K15" s="24">
        <f t="shared" si="2"/>
        <v>13932.3891649989</v>
      </c>
      <c r="N15" s="3222"/>
      <c r="O15" s="3223"/>
      <c r="S15" s="1886"/>
    </row>
    <row r="16" spans="1:19" ht="13.15" customHeight="1">
      <c r="A16" s="22" t="s">
        <v>2421</v>
      </c>
      <c r="B16" s="23">
        <f t="shared" ref="B16:K16" si="3">-(B14+B15)*$B$8</f>
        <v>-41619.060000000005</v>
      </c>
      <c r="C16" s="23">
        <f t="shared" si="3"/>
        <v>-42451.441200000008</v>
      </c>
      <c r="D16" s="23">
        <f t="shared" si="3"/>
        <v>-43300.470024000009</v>
      </c>
      <c r="E16" s="23">
        <f t="shared" si="3"/>
        <v>-44166.47942448</v>
      </c>
      <c r="F16" s="23">
        <f t="shared" si="3"/>
        <v>-45049.809012969607</v>
      </c>
      <c r="G16" s="23">
        <f t="shared" si="3"/>
        <v>-45950.805193228996</v>
      </c>
      <c r="H16" s="23">
        <f t="shared" si="3"/>
        <v>-46869.821297093578</v>
      </c>
      <c r="I16" s="23">
        <f t="shared" si="3"/>
        <v>-47807.217723035443</v>
      </c>
      <c r="J16" s="23">
        <f t="shared" si="3"/>
        <v>-48763.362077496153</v>
      </c>
      <c r="K16" s="24">
        <f t="shared" si="3"/>
        <v>-49738.629319046071</v>
      </c>
      <c r="N16" s="3222"/>
      <c r="O16" s="3223"/>
      <c r="Q16" s="1888" t="s">
        <v>3912</v>
      </c>
      <c r="R16" s="1888" t="s">
        <v>4235</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2"/>
      <c r="O17" s="3223"/>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2"/>
      <c r="O18" s="3223"/>
    </row>
    <row r="19" spans="1:19" ht="13.15" customHeight="1">
      <c r="A19" s="22" t="s">
        <v>620</v>
      </c>
      <c r="B19" s="23">
        <f>-('Part VI-Revenues &amp; Expenses'!$P$175-'Part VI-Revenues &amp; Expenses'!$P$170)</f>
        <v>-303424</v>
      </c>
      <c r="C19" s="23">
        <f t="shared" ref="C19:K19" si="4">$B$19*(1+$B$6)^(C13-1)</f>
        <v>-312526.72000000003</v>
      </c>
      <c r="D19" s="23">
        <f t="shared" si="4"/>
        <v>-321902.52159999998</v>
      </c>
      <c r="E19" s="23">
        <f t="shared" si="4"/>
        <v>-331559.59724799998</v>
      </c>
      <c r="F19" s="23">
        <f t="shared" si="4"/>
        <v>-341506.38516543998</v>
      </c>
      <c r="G19" s="23">
        <f t="shared" si="4"/>
        <v>-351751.57672040316</v>
      </c>
      <c r="H19" s="23">
        <f t="shared" si="4"/>
        <v>-362304.12402201525</v>
      </c>
      <c r="I19" s="23">
        <f t="shared" si="4"/>
        <v>-373173.24774267577</v>
      </c>
      <c r="J19" s="23">
        <f t="shared" si="4"/>
        <v>-384368.445174956</v>
      </c>
      <c r="K19" s="24">
        <f t="shared" si="4"/>
        <v>-395899.49853020464</v>
      </c>
      <c r="N19" s="3222"/>
      <c r="O19" s="3223"/>
      <c r="Q19" s="63">
        <v>1</v>
      </c>
      <c r="R19" s="1197">
        <f>-B29</f>
        <v>6170</v>
      </c>
      <c r="S19" s="1197">
        <f>B30+R19</f>
        <v>38607.855602867319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-33176</v>
      </c>
      <c r="C20" s="23">
        <f>IF(AND('Part VII-Pro Forma'!$G$8="Yes",'Part VII-Pro Forma'!$G$9="Yes"),"Choose One!",IF('Part VII-Pro Forma'!$G$8="Yes",ROUND((-$K$8*(1+'Part VII-Pro Forma'!$B$6)^('Part VII-Pro Forma'!C13-1)),),IF('Part VII-Pro Forma'!$G$9="Yes",ROUND((-(SUM(C14:C17)*'Part VII-Pro Forma'!$K$9)),),"Choose mgt fee")))</f>
        <v>-33840</v>
      </c>
      <c r="D20" s="23">
        <f>IF(AND('Part VII-Pro Forma'!$G$8="Yes",'Part VII-Pro Forma'!$G$9="Yes"),"Choose One!",IF('Part VII-Pro Forma'!$G$8="Yes",ROUND((-$K$8*(1+'Part VII-Pro Forma'!$B$6)^('Part VII-Pro Forma'!D13-1)),),IF('Part VII-Pro Forma'!$G$9="Yes",ROUND((-(SUM(D14:D17)*'Part VII-Pro Forma'!$K$9)),),"Choose mgt fee")))</f>
        <v>-34517</v>
      </c>
      <c r="E20" s="23">
        <f>IF(AND('Part VII-Pro Forma'!$G$8="Yes",'Part VII-Pro Forma'!$G$9="Yes"),"Choose One!",IF('Part VII-Pro Forma'!$G$8="Yes",ROUND((-$K$8*(1+'Part VII-Pro Forma'!$B$6)^('Part VII-Pro Forma'!E13-1)),),IF('Part VII-Pro Forma'!$G$9="Yes",ROUND((-(SUM(E14:E17)*'Part VII-Pro Forma'!$K$9)),),"Choose mgt fee")))</f>
        <v>-35207</v>
      </c>
      <c r="F20" s="23">
        <f>IF(AND('Part VII-Pro Forma'!$G$8="Yes",'Part VII-Pro Forma'!$G$9="Yes"),"Choose One!",IF('Part VII-Pro Forma'!$G$8="Yes",ROUND((-$K$8*(1+'Part VII-Pro Forma'!$B$6)^('Part VII-Pro Forma'!F13-1)),),IF('Part VII-Pro Forma'!$G$9="Yes",ROUND((-(SUM(F14:F17)*'Part VII-Pro Forma'!$K$9)),),"Choose mgt fee")))</f>
        <v>-35911</v>
      </c>
      <c r="G20" s="23">
        <f>IF(AND('Part VII-Pro Forma'!$G$8="Yes",'Part VII-Pro Forma'!$G$9="Yes"),"Choose One!",IF('Part VII-Pro Forma'!$G$8="Yes",ROUND((-$K$8*(1+'Part VII-Pro Forma'!$B$6)^('Part VII-Pro Forma'!G13-1)),),IF('Part VII-Pro Forma'!$G$9="Yes",ROUND((-(SUM(G14:G17)*'Part VII-Pro Forma'!$K$9)),),"Choose mgt fee")))</f>
        <v>-36629</v>
      </c>
      <c r="H20" s="23">
        <f>IF(AND('Part VII-Pro Forma'!$G$8="Yes",'Part VII-Pro Forma'!$G$9="Yes"),"Choose One!",IF('Part VII-Pro Forma'!$G$8="Yes",ROUND((-$K$8*(1+'Part VII-Pro Forma'!$B$6)^('Part VII-Pro Forma'!H13-1)),),IF('Part VII-Pro Forma'!$G$9="Yes",ROUND((-(SUM(H14:H17)*'Part VII-Pro Forma'!$K$9)),),"Choose mgt fee")))</f>
        <v>-37362</v>
      </c>
      <c r="I20" s="23">
        <f>IF(AND('Part VII-Pro Forma'!$G$8="Yes",'Part VII-Pro Forma'!$G$9="Yes"),"Choose One!",IF('Part VII-Pro Forma'!$G$8="Yes",ROUND((-$K$8*(1+'Part VII-Pro Forma'!$B$6)^('Part VII-Pro Forma'!I13-1)),),IF('Part VII-Pro Forma'!$G$9="Yes",ROUND((-(SUM(I14:I17)*'Part VII-Pro Forma'!$K$9)),),"Choose mgt fee")))</f>
        <v>-38109</v>
      </c>
      <c r="J20" s="23">
        <f>IF(AND('Part VII-Pro Forma'!$G$8="Yes",'Part VII-Pro Forma'!$G$9="Yes"),"Choose One!",IF('Part VII-Pro Forma'!$G$8="Yes",ROUND((-$K$8*(1+'Part VII-Pro Forma'!$B$6)^('Part VII-Pro Forma'!J13-1)),),IF('Part VII-Pro Forma'!$G$9="Yes",ROUND((-(SUM(J14:J17)*'Part VII-Pro Forma'!$K$9)),),"Choose mgt fee")))</f>
        <v>-38871</v>
      </c>
      <c r="K20" s="23">
        <f>IF(AND('Part VII-Pro Forma'!$G$8="Yes",'Part VII-Pro Forma'!$G$9="Yes"),"Choose One!",IF('Part VII-Pro Forma'!$G$8="Yes",ROUND((-$K$8*(1+'Part VII-Pro Forma'!$B$6)^('Part VII-Pro Forma'!K13-1)),),IF('Part VII-Pro Forma'!$G$9="Yes",ROUND((-(SUM(K14:K17)*'Part VII-Pro Forma'!$K$9)),),"Choose mgt fee")))</f>
        <v>-39649</v>
      </c>
      <c r="N20" s="3222"/>
      <c r="O20" s="3223"/>
      <c r="Q20" s="63">
        <v>2</v>
      </c>
      <c r="R20" s="1197">
        <f>-SUM($B$29:$C$29)</f>
        <v>6170</v>
      </c>
      <c r="S20" s="1197">
        <f>SUM($B$30:$C$30)+R20</f>
        <v>77967.770005734696</v>
      </c>
    </row>
    <row r="21" spans="1:19" ht="13.15" customHeight="1">
      <c r="A21" s="22" t="s">
        <v>1214</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N21" s="3222"/>
      <c r="O21" s="3223"/>
      <c r="Q21" s="63">
        <v>3</v>
      </c>
      <c r="R21" s="1197">
        <f>-SUM($B$29:$D$29)</f>
        <v>6170</v>
      </c>
      <c r="S21" s="1197">
        <f>SUM($B$30:$D$30)+R21</f>
        <v>117998.63718460209</v>
      </c>
    </row>
    <row r="22" spans="1:19" ht="13.15" customHeight="1">
      <c r="A22" s="22" t="s">
        <v>1215</v>
      </c>
      <c r="B22" s="23">
        <f t="shared" ref="B22:K22" si="6">SUM(B14:B21)</f>
        <v>198338.93999999994</v>
      </c>
      <c r="C22" s="23">
        <f t="shared" si="6"/>
        <v>199090.9988</v>
      </c>
      <c r="D22" s="23">
        <f t="shared" si="6"/>
        <v>199761.95157600002</v>
      </c>
      <c r="E22" s="23">
        <f t="shared" si="6"/>
        <v>200347.54339151992</v>
      </c>
      <c r="F22" s="23">
        <f t="shared" si="6"/>
        <v>200842.34742687049</v>
      </c>
      <c r="G22" s="23">
        <f t="shared" si="6"/>
        <v>201241.75893795348</v>
      </c>
      <c r="H22" s="23">
        <f t="shared" si="6"/>
        <v>201539.98901613452</v>
      </c>
      <c r="I22" s="23">
        <f t="shared" si="6"/>
        <v>201733.05814286161</v>
      </c>
      <c r="J22" s="23">
        <f t="shared" si="6"/>
        <v>201814.78953251574</v>
      </c>
      <c r="K22" s="24">
        <f t="shared" si="6"/>
        <v>201778.80225676676</v>
      </c>
      <c r="N22" s="3222"/>
      <c r="O22" s="3223"/>
      <c r="Q22" s="1040">
        <v>4</v>
      </c>
      <c r="R22" s="1197">
        <f>-SUM($B$29:$E$29)</f>
        <v>6170</v>
      </c>
      <c r="S22" s="1197">
        <f>SUM($B$30:$E$30)+R22</f>
        <v>158615.09617898939</v>
      </c>
    </row>
    <row r="23" spans="1:19" ht="13.15" customHeight="1">
      <c r="A23" s="435" t="s">
        <v>1603</v>
      </c>
      <c r="B23" s="3230">
        <f>IF('Part III-Sources of Funds'!$N$37="", 0,-'Part III-Sources of Funds'!$N$37)</f>
        <v>-154731.08439713262</v>
      </c>
      <c r="C23" s="3230">
        <f>IF('Part III-Sources of Funds'!$N$37="", 0,-'Part III-Sources of Funds'!$N$37)</f>
        <v>-154731.08439713262</v>
      </c>
      <c r="D23" s="3230">
        <f>IF('Part III-Sources of Funds'!$N$37="", 0,-'Part III-Sources of Funds'!$N$37)</f>
        <v>-154731.08439713262</v>
      </c>
      <c r="E23" s="3230">
        <f>IF('Part III-Sources of Funds'!$N$37="", 0,-'Part III-Sources of Funds'!$N$37)</f>
        <v>-154731.08439713262</v>
      </c>
      <c r="F23" s="3230">
        <f>IF('Part III-Sources of Funds'!$N$37="", 0,-'Part III-Sources of Funds'!$N$37)</f>
        <v>-154731.08439713262</v>
      </c>
      <c r="G23" s="3230">
        <f>IF('Part III-Sources of Funds'!$N$37="", 0,-'Part III-Sources of Funds'!$N$37)</f>
        <v>-154731.08439713262</v>
      </c>
      <c r="H23" s="3230">
        <f>IF('Part III-Sources of Funds'!$N$37="", 0,-'Part III-Sources of Funds'!$N$37)</f>
        <v>-154731.08439713262</v>
      </c>
      <c r="I23" s="3230">
        <f>IF('Part III-Sources of Funds'!$N$37="", 0,-'Part III-Sources of Funds'!$N$37)</f>
        <v>-154731.08439713262</v>
      </c>
      <c r="J23" s="3230">
        <f>IF('Part III-Sources of Funds'!$N$37="", 0,-'Part III-Sources of Funds'!$N$37)</f>
        <v>-154731.08439713262</v>
      </c>
      <c r="K23" s="3230">
        <f>IF('Part III-Sources of Funds'!$N$37="", 0,-'Part III-Sources of Funds'!$N$37)</f>
        <v>-154731.08439713262</v>
      </c>
      <c r="N23" s="3222"/>
      <c r="O23" s="3223"/>
      <c r="Q23" s="1040">
        <v>5</v>
      </c>
      <c r="R23" s="1197">
        <f>-SUM($B$29:$F$29)</f>
        <v>6170</v>
      </c>
      <c r="S23" s="1197">
        <f>SUM($B$30:$F$30)+R23</f>
        <v>199726.35920872726</v>
      </c>
    </row>
    <row r="24" spans="1:19" ht="13.15" customHeight="1">
      <c r="A24" s="435" t="s">
        <v>1604</v>
      </c>
      <c r="B24" s="3231">
        <f>IF('Part III-Sources of Funds'!$N$38="", 0,-'Part III-Sources of Funds'!$N$38)</f>
        <v>0</v>
      </c>
      <c r="C24" s="3231">
        <f>IF('Part III-Sources of Funds'!$N$38="", 0,-'Part III-Sources of Funds'!$N$38)</f>
        <v>0</v>
      </c>
      <c r="D24" s="3231">
        <f>IF('Part III-Sources of Funds'!$N$38="", 0,-'Part III-Sources of Funds'!$N$38)</f>
        <v>0</v>
      </c>
      <c r="E24" s="3231">
        <f>IF('Part III-Sources of Funds'!$N$38="", 0,-'Part III-Sources of Funds'!$N$38)</f>
        <v>0</v>
      </c>
      <c r="F24" s="3231">
        <f>IF('Part III-Sources of Funds'!$N$38="", 0,-'Part III-Sources of Funds'!$N$38)</f>
        <v>0</v>
      </c>
      <c r="G24" s="3231">
        <f>IF('Part III-Sources of Funds'!$N$38="", 0,-'Part III-Sources of Funds'!$N$38)</f>
        <v>0</v>
      </c>
      <c r="H24" s="3231">
        <f>IF('Part III-Sources of Funds'!$N$38="", 0,-'Part III-Sources of Funds'!$N$38)</f>
        <v>0</v>
      </c>
      <c r="I24" s="3231">
        <f>IF('Part III-Sources of Funds'!$N$38="", 0,-'Part III-Sources of Funds'!$N$38)</f>
        <v>0</v>
      </c>
      <c r="J24" s="3231">
        <f>IF('Part III-Sources of Funds'!$N$38="", 0,-'Part III-Sources of Funds'!$N$38)</f>
        <v>0</v>
      </c>
      <c r="K24" s="3231">
        <f>IF('Part III-Sources of Funds'!$N$38="", 0,-'Part III-Sources of Funds'!$N$38)</f>
        <v>0</v>
      </c>
      <c r="N24" s="3222"/>
      <c r="O24" s="3223"/>
      <c r="Q24" s="1040">
        <v>6</v>
      </c>
      <c r="R24" s="1197">
        <f>-SUM($B$29:$G$29)</f>
        <v>6170</v>
      </c>
      <c r="S24" s="1197">
        <f>SUM($B$30:$G$30)+R24</f>
        <v>241237.03374954811</v>
      </c>
    </row>
    <row r="25" spans="1:19" ht="13.15" customHeight="1">
      <c r="A25" s="435" t="s">
        <v>1605</v>
      </c>
      <c r="B25" s="3231">
        <f>IF('Part III-Sources of Funds'!$N$39="", 0,-'Part III-Sources of Funds'!$N$39)</f>
        <v>0</v>
      </c>
      <c r="C25" s="3231">
        <f>IF('Part III-Sources of Funds'!$N$39="", 0,-'Part III-Sources of Funds'!$N$39)</f>
        <v>0</v>
      </c>
      <c r="D25" s="3231">
        <f>IF('Part III-Sources of Funds'!$N$39="", 0,-'Part III-Sources of Funds'!$N$39)</f>
        <v>0</v>
      </c>
      <c r="E25" s="3231">
        <f>IF('Part III-Sources of Funds'!$N$39="", 0,-'Part III-Sources of Funds'!$N$39)</f>
        <v>0</v>
      </c>
      <c r="F25" s="3231">
        <f>IF('Part III-Sources of Funds'!$N$39="", 0,-'Part III-Sources of Funds'!$N$39)</f>
        <v>0</v>
      </c>
      <c r="G25" s="3231">
        <f>IF('Part III-Sources of Funds'!$N$39="", 0,-'Part III-Sources of Funds'!$N$39)</f>
        <v>0</v>
      </c>
      <c r="H25" s="3231">
        <f>IF('Part III-Sources of Funds'!$N$39="", 0,-'Part III-Sources of Funds'!$N$39)</f>
        <v>0</v>
      </c>
      <c r="I25" s="3231">
        <f>IF('Part III-Sources of Funds'!$N$39="", 0,-'Part III-Sources of Funds'!$N$39)</f>
        <v>0</v>
      </c>
      <c r="J25" s="3231">
        <f>IF('Part III-Sources of Funds'!$N$39="", 0,-'Part III-Sources of Funds'!$N$39)</f>
        <v>0</v>
      </c>
      <c r="K25" s="3231">
        <f>IF('Part III-Sources of Funds'!$N$39="", 0,-'Part III-Sources of Funds'!$N$39)</f>
        <v>0</v>
      </c>
      <c r="N25" s="3222"/>
      <c r="O25" s="3223"/>
      <c r="Q25" s="1040">
        <v>7</v>
      </c>
      <c r="R25" s="1197">
        <f>-SUM($B$29:$H$29)</f>
        <v>6170</v>
      </c>
      <c r="S25" s="1197">
        <f>SUM($B$30:$H$30)+R25</f>
        <v>283045.93836855004</v>
      </c>
    </row>
    <row r="26" spans="1:19" ht="13.15" customHeight="1">
      <c r="A26" s="435" t="s">
        <v>3880</v>
      </c>
      <c r="B26" s="3231">
        <f>IF('Part III-Sources of Funds'!$N$40="", 0,-'Part III-Sources of Funds'!$N$40)</f>
        <v>0</v>
      </c>
      <c r="C26" s="3231">
        <f>IF('Part III-Sources of Funds'!$N$40="", 0,-'Part III-Sources of Funds'!$N$40)</f>
        <v>0</v>
      </c>
      <c r="D26" s="3231">
        <f>IF('Part III-Sources of Funds'!$N$40="", 0,-'Part III-Sources of Funds'!$N$40)</f>
        <v>0</v>
      </c>
      <c r="E26" s="3231">
        <f>IF('Part III-Sources of Funds'!$N$40="", 0,-'Part III-Sources of Funds'!$N$40)</f>
        <v>0</v>
      </c>
      <c r="F26" s="3231">
        <f>IF('Part III-Sources of Funds'!$N$40="", 0,-'Part III-Sources of Funds'!$N$40)</f>
        <v>0</v>
      </c>
      <c r="G26" s="3231">
        <f>IF('Part III-Sources of Funds'!$N$40="", 0,-'Part III-Sources of Funds'!$N$40)</f>
        <v>0</v>
      </c>
      <c r="H26" s="3231">
        <f>IF('Part III-Sources of Funds'!$N$40="", 0,-'Part III-Sources of Funds'!$N$40)</f>
        <v>0</v>
      </c>
      <c r="I26" s="3231">
        <f>IF('Part III-Sources of Funds'!$N$40="", 0,-'Part III-Sources of Funds'!$N$40)</f>
        <v>0</v>
      </c>
      <c r="J26" s="3231">
        <f>IF('Part III-Sources of Funds'!$N$40="", 0,-'Part III-Sources of Funds'!$N$40)</f>
        <v>0</v>
      </c>
      <c r="K26" s="3231">
        <f>IF('Part III-Sources of Funds'!$N$40="", 0,-'Part III-Sources of Funds'!$N$40)</f>
        <v>0</v>
      </c>
      <c r="N26" s="3222"/>
      <c r="O26" s="3223"/>
      <c r="Q26" s="1040">
        <v>8</v>
      </c>
      <c r="R26" s="1197">
        <f>-SUM($B$29:$I$29)</f>
        <v>6170</v>
      </c>
      <c r="S26" s="1197">
        <f>SUM($B$30:$I$30)+R26</f>
        <v>325047.912114279</v>
      </c>
    </row>
    <row r="27" spans="1:19" ht="13.15" customHeight="1">
      <c r="A27" s="22" t="s">
        <v>771</v>
      </c>
      <c r="B27" s="3232"/>
      <c r="C27" s="3232"/>
      <c r="D27" s="3232"/>
      <c r="E27" s="3232"/>
      <c r="F27" s="3232"/>
      <c r="G27" s="3232"/>
      <c r="H27" s="3232"/>
      <c r="I27" s="3232"/>
      <c r="J27" s="3232"/>
      <c r="K27" s="3232"/>
      <c r="N27" s="3222"/>
      <c r="O27" s="3223"/>
      <c r="Q27" s="1040">
        <v>9</v>
      </c>
      <c r="R27" s="1197">
        <f>-SUM($B$29:$J$29)</f>
        <v>6170</v>
      </c>
      <c r="S27" s="1197">
        <f>SUM($B$30:$J$30)+R27</f>
        <v>367131.61724966211</v>
      </c>
    </row>
    <row r="28" spans="1:19" ht="13.15" customHeight="1">
      <c r="A28" s="435" t="s">
        <v>1174</v>
      </c>
      <c r="B28" s="3233">
        <f>-$G$5</f>
        <v>-5000</v>
      </c>
      <c r="C28" s="3233">
        <f t="shared" ref="C28:K28" si="7">+B28</f>
        <v>-5000</v>
      </c>
      <c r="D28" s="3233">
        <f t="shared" si="7"/>
        <v>-5000</v>
      </c>
      <c r="E28" s="3233">
        <f t="shared" si="7"/>
        <v>-5000</v>
      </c>
      <c r="F28" s="3233">
        <f t="shared" si="7"/>
        <v>-5000</v>
      </c>
      <c r="G28" s="3233">
        <f t="shared" si="7"/>
        <v>-5000</v>
      </c>
      <c r="H28" s="3233">
        <f t="shared" si="7"/>
        <v>-5000</v>
      </c>
      <c r="I28" s="3233">
        <f t="shared" si="7"/>
        <v>-5000</v>
      </c>
      <c r="J28" s="3233">
        <f t="shared" si="7"/>
        <v>-5000</v>
      </c>
      <c r="K28" s="3233">
        <f t="shared" si="7"/>
        <v>-5000</v>
      </c>
      <c r="N28" s="3222"/>
      <c r="O28" s="3223"/>
      <c r="Q28" s="1040">
        <v>10</v>
      </c>
      <c r="R28" s="1197">
        <f>-SUM($B$29:$K$29)</f>
        <v>6170</v>
      </c>
      <c r="S28" s="1197">
        <f>SUM($B$30:$K$30)+R28</f>
        <v>409179.33510929625</v>
      </c>
    </row>
    <row r="29" spans="1:19" ht="13.15" customHeight="1">
      <c r="A29" s="435" t="s">
        <v>4126</v>
      </c>
      <c r="B29" s="3234">
        <v>-6170</v>
      </c>
      <c r="C29" s="3234">
        <f>IF('Part III-Sources of Funds'!$N$42="", 0,-'Part III-Sources of Funds'!$N$42)</f>
        <v>0</v>
      </c>
      <c r="D29" s="3234">
        <f>IF('Part III-Sources of Funds'!$N$42="", 0,-'Part III-Sources of Funds'!$N$42)</f>
        <v>0</v>
      </c>
      <c r="E29" s="3234">
        <f>IF('Part III-Sources of Funds'!$N$42="", 0,-'Part III-Sources of Funds'!$N$42)</f>
        <v>0</v>
      </c>
      <c r="F29" s="3234">
        <f>IF('Part III-Sources of Funds'!$N$42="", 0,-'Part III-Sources of Funds'!$N$42)</f>
        <v>0</v>
      </c>
      <c r="G29" s="3234">
        <f>IF('Part III-Sources of Funds'!$N$42="", 0,-'Part III-Sources of Funds'!$N$42)</f>
        <v>0</v>
      </c>
      <c r="H29" s="3234">
        <f>IF('Part III-Sources of Funds'!$N$42="", 0,-'Part III-Sources of Funds'!$N$42)</f>
        <v>0</v>
      </c>
      <c r="I29" s="3234">
        <f>IF('Part III-Sources of Funds'!$N$42="", 0,-'Part III-Sources of Funds'!$N$42)</f>
        <v>0</v>
      </c>
      <c r="J29" s="3234">
        <f>IF('Part III-Sources of Funds'!$N$42="", 0,-'Part III-Sources of Funds'!$N$42)</f>
        <v>0</v>
      </c>
      <c r="K29" s="3234">
        <f>IF('Part III-Sources of Funds'!$N$42="", 0,-'Part III-Sources of Funds'!$N$42)</f>
        <v>0</v>
      </c>
      <c r="N29" s="3222"/>
      <c r="O29" s="3223"/>
      <c r="Q29" s="1040">
        <v>11</v>
      </c>
      <c r="R29" s="1197">
        <f>-SUM($B$29:$K$29)-$B$59</f>
        <v>6170</v>
      </c>
      <c r="S29" s="1197">
        <f>SUM($B$30:$K$30)+$B$60+R29</f>
        <v>451068.75485567452</v>
      </c>
    </row>
    <row r="30" spans="1:19" ht="13.15" customHeight="1">
      <c r="A30" s="22" t="s">
        <v>1175</v>
      </c>
      <c r="B30" s="23">
        <f>SUM(B22:B29)</f>
        <v>32437.855602867319</v>
      </c>
      <c r="C30" s="23">
        <f t="shared" ref="C30:K30" si="8">SUM(C22:C29)</f>
        <v>39359.914402867376</v>
      </c>
      <c r="D30" s="23">
        <f t="shared" si="8"/>
        <v>40030.867178867396</v>
      </c>
      <c r="E30" s="23">
        <f t="shared" si="8"/>
        <v>40616.4589943873</v>
      </c>
      <c r="F30" s="23">
        <f t="shared" si="8"/>
        <v>41111.263029737864</v>
      </c>
      <c r="G30" s="23">
        <f t="shared" si="8"/>
        <v>41510.674540820852</v>
      </c>
      <c r="H30" s="23">
        <f t="shared" si="8"/>
        <v>41808.9046190019</v>
      </c>
      <c r="I30" s="23">
        <f t="shared" si="8"/>
        <v>42001.973745728988</v>
      </c>
      <c r="J30" s="23">
        <f t="shared" si="8"/>
        <v>42083.705135383119</v>
      </c>
      <c r="K30" s="23">
        <f t="shared" si="8"/>
        <v>42047.71785963414</v>
      </c>
      <c r="N30" s="3222"/>
      <c r="O30" s="3223"/>
      <c r="Q30" s="1040">
        <v>12</v>
      </c>
      <c r="R30" s="1197">
        <f>-SUM($B$29:$K$29) - SUM($B$59:$C$59)</f>
        <v>6170</v>
      </c>
      <c r="S30" s="1197">
        <f>SUM($B$30:$K$30) + SUM($B$60:$C$60)+R30</f>
        <v>492670.7549017797</v>
      </c>
    </row>
    <row r="31" spans="1:19" ht="13.15" customHeight="1">
      <c r="A31" s="22" t="str">
        <f>IF('Part III-Sources of Funds'!$E$37 = "Neither", "", "DCR Mortgage A")</f>
        <v>DCR Mortgage A</v>
      </c>
      <c r="B31" s="25">
        <f t="shared" ref="B31:K31" si="9">IF(B23=0,"",-B22/B23)</f>
        <v>1.2818299617867568</v>
      </c>
      <c r="C31" s="25">
        <f t="shared" si="9"/>
        <v>1.286690386587179</v>
      </c>
      <c r="D31" s="25">
        <f t="shared" si="9"/>
        <v>1.2910266373063812</v>
      </c>
      <c r="E31" s="25">
        <f t="shared" si="9"/>
        <v>1.2948112150323212</v>
      </c>
      <c r="F31" s="25">
        <f t="shared" si="9"/>
        <v>1.2980090471762529</v>
      </c>
      <c r="G31" s="25">
        <f t="shared" si="9"/>
        <v>1.3005903740805345</v>
      </c>
      <c r="H31" s="25">
        <f t="shared" si="9"/>
        <v>1.3025177830387475</v>
      </c>
      <c r="I31" s="25">
        <f t="shared" si="9"/>
        <v>1.3037655551168619</v>
      </c>
      <c r="J31" s="25">
        <f t="shared" si="9"/>
        <v>1.3042937708271864</v>
      </c>
      <c r="K31" s="26">
        <f t="shared" si="9"/>
        <v>1.3040611913433084</v>
      </c>
      <c r="N31" s="3222"/>
      <c r="O31" s="3223"/>
      <c r="Q31" s="1040">
        <v>13</v>
      </c>
      <c r="R31" s="1197">
        <f>-SUM($B$29:$K$29) - SUM($B$59:$D$59)</f>
        <v>6170</v>
      </c>
      <c r="S31" s="1197">
        <f>SUM($B$30:$K$30) + SUM($B$60:$D$60)+R31</f>
        <v>533850.1767601124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2"/>
      <c r="O32" s="3223"/>
      <c r="Q32" s="1040">
        <v>14</v>
      </c>
      <c r="R32" s="1197">
        <f>-SUM($B$29:$K$29) - SUM($B$59:$E$59)</f>
        <v>6170</v>
      </c>
      <c r="S32" s="1197">
        <f>SUM($B$30:$K$30) + SUM($B$60:$E$60)+R32</f>
        <v>574465.59107061801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2"/>
      <c r="O33" s="3223"/>
      <c r="Q33" s="1040">
        <v>15</v>
      </c>
      <c r="R33" s="1197">
        <f>-SUM($B$29:$K$29) - SUM($B$59:$F$59)</f>
        <v>6170</v>
      </c>
      <c r="S33" s="1197">
        <f>SUM($B$30:$K$30) + SUM($B$60:$F$60)+R33</f>
        <v>614368.05555215199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2"/>
      <c r="O34" s="3223"/>
      <c r="Q34" s="63">
        <v>16</v>
      </c>
      <c r="R34" s="1197">
        <f>-SUM($B$29:$K$29) - SUM($B$59:$G$59)</f>
        <v>6170</v>
      </c>
      <c r="S34" s="1197">
        <f>SUM($B$30:$K$30) + SUM($B$60:$G$60)+R34</f>
        <v>653400.86461404047</v>
      </c>
    </row>
    <row r="35" spans="1:19" ht="13.15" customHeight="1">
      <c r="A35" s="435" t="s">
        <v>3739</v>
      </c>
      <c r="B35" s="25">
        <f t="shared" ref="B35:K35" si="13">IF(AND(B23=0,B24=0,B25=0,B26=0),"",-B22/(B23+B24+B25+B26))</f>
        <v>1.2818299617867568</v>
      </c>
      <c r="C35" s="25">
        <f t="shared" si="13"/>
        <v>1.286690386587179</v>
      </c>
      <c r="D35" s="25">
        <f t="shared" si="13"/>
        <v>1.2910266373063812</v>
      </c>
      <c r="E35" s="25">
        <f t="shared" si="13"/>
        <v>1.2948112150323212</v>
      </c>
      <c r="F35" s="25">
        <f t="shared" si="13"/>
        <v>1.2980090471762529</v>
      </c>
      <c r="G35" s="25">
        <f t="shared" si="13"/>
        <v>1.3005903740805345</v>
      </c>
      <c r="H35" s="25">
        <f t="shared" si="13"/>
        <v>1.3025177830387475</v>
      </c>
      <c r="I35" s="25">
        <f t="shared" si="13"/>
        <v>1.3037655551168619</v>
      </c>
      <c r="J35" s="25">
        <f t="shared" si="13"/>
        <v>1.3042937708271864</v>
      </c>
      <c r="K35" s="26">
        <f t="shared" si="13"/>
        <v>1.3040611913433084</v>
      </c>
      <c r="N35" s="3222"/>
      <c r="O35" s="3223"/>
      <c r="Q35" s="63">
        <v>17</v>
      </c>
      <c r="R35" s="1197">
        <f>-SUM($B$29:$K$29) - SUM($B$59:$H$59)</f>
        <v>6170</v>
      </c>
      <c r="S35" s="1197">
        <f>SUM($B$30:$K$30) + SUM($B$60:$H$60)+R35</f>
        <v>691401.29035597492</v>
      </c>
    </row>
    <row r="36" spans="1:19" ht="13.15" customHeight="1">
      <c r="A36" s="22" t="s">
        <v>778</v>
      </c>
      <c r="B36" s="274">
        <f t="shared" ref="B36:K36" si="14">IF(OR(B20="Choose mgt fee",B20="Choose One!"),"",(B14+B15+B16+B17+B18) / -(B19+B20+B21))</f>
        <v>1.5593314720812181</v>
      </c>
      <c r="C36" s="274">
        <f t="shared" si="14"/>
        <v>1.5455942241896778</v>
      </c>
      <c r="D36" s="274">
        <f t="shared" si="14"/>
        <v>1.5319669459506327</v>
      </c>
      <c r="E36" s="274">
        <f t="shared" si="14"/>
        <v>1.5184499053182527</v>
      </c>
      <c r="F36" s="274">
        <f t="shared" si="14"/>
        <v>1.5050394613050986</v>
      </c>
      <c r="G36" s="274">
        <f t="shared" si="14"/>
        <v>1.491736061899386</v>
      </c>
      <c r="H36" s="274">
        <f t="shared" si="14"/>
        <v>1.4785365093449498</v>
      </c>
      <c r="I36" s="274">
        <f t="shared" si="14"/>
        <v>1.4654447618914639</v>
      </c>
      <c r="J36" s="274">
        <f t="shared" si="14"/>
        <v>1.4524576233820219</v>
      </c>
      <c r="K36" s="275">
        <f t="shared" si="14"/>
        <v>1.4395722745274078</v>
      </c>
      <c r="N36" s="3222"/>
      <c r="O36" s="3223"/>
      <c r="Q36" s="63">
        <v>18</v>
      </c>
      <c r="R36" s="1197">
        <f>-SUM($B$29:$K$29) - SUM($B$59:$I$59)</f>
        <v>6170</v>
      </c>
      <c r="S36" s="1197">
        <f>SUM($B$30:$K$30) + SUM($B$60:$I$60)+R36</f>
        <v>728198.31467588188</v>
      </c>
    </row>
    <row r="37" spans="1:19" ht="13.15" customHeight="1">
      <c r="A37" s="435" t="s">
        <v>2634</v>
      </c>
      <c r="B37" s="3235">
        <f>IF('Part III-Sources of Funds'!$I$37="","",-FV('Part III-Sources of Funds'!$K$37/12,12,B23/12,'Part III-Sources of Funds'!$I$37))</f>
        <v>2482327.8435824574</v>
      </c>
      <c r="C37" s="3235">
        <f>IF('Part III-Sources of Funds'!$I$37="","",-FV('Part III-Sources of Funds'!$K$37/12,12,C23/12,B37))</f>
        <v>2463658.8386330027</v>
      </c>
      <c r="D37" s="3235">
        <f>IF('Part III-Sources of Funds'!$I$37="","",-FV('Part III-Sources of Funds'!$K$37/12,12,D23/12,C37))</f>
        <v>2443936.7550588227</v>
      </c>
      <c r="E37" s="3235">
        <f>IF('Part III-Sources of Funds'!$I$37="","",-FV('Part III-Sources of Funds'!$K$37/12,12,E23/12,D37))</f>
        <v>2423102.1909478782</v>
      </c>
      <c r="F37" s="3235">
        <f>IF('Part III-Sources of Funds'!$I$37="","",-FV('Part III-Sources of Funds'!$K$37/12,12,F23/12,E37))</f>
        <v>2401092.39365337</v>
      </c>
      <c r="G37" s="3235">
        <f>IF('Part III-Sources of Funds'!$I$37="","",-FV('Part III-Sources of Funds'!$K$37/12,12,G23/12,F37))</f>
        <v>2377841.0707859593</v>
      </c>
      <c r="H37" s="3235">
        <f>IF('Part III-Sources of Funds'!$I$37="","",-FV('Part III-Sources of Funds'!$K$37/12,12,H23/12,G37))</f>
        <v>2353278.1905444646</v>
      </c>
      <c r="I37" s="3235">
        <f>IF('Part III-Sources of Funds'!$I$37="","",-FV('Part III-Sources of Funds'!$K$37/12,12,I23/12,H37))</f>
        <v>2327329.7707836414</v>
      </c>
      <c r="J37" s="3235">
        <f>IF('Part III-Sources of Funds'!$I$37="","",-FV('Part III-Sources of Funds'!$K$37/12,12,J23/12,I37))</f>
        <v>2299917.6561837243</v>
      </c>
      <c r="K37" s="3235">
        <f>IF('Part III-Sources of Funds'!$I$37="","",-FV('Part III-Sources of Funds'!$K$37/12,12,K23/12,J37))</f>
        <v>2270959.2828505826</v>
      </c>
      <c r="N37" s="3222"/>
      <c r="O37" s="3223"/>
      <c r="Q37" s="1040">
        <v>19</v>
      </c>
      <c r="R37" s="1197">
        <f>-SUM($B$29:$K$29) - SUM($B$59:$J$59)</f>
        <v>6170</v>
      </c>
      <c r="S37" s="1197">
        <f>SUM($B$30:$K$30) + SUM($B$60:$J$60)+R37</f>
        <v>763613.35219657642</v>
      </c>
    </row>
    <row r="38" spans="1:19" ht="13.15" customHeight="1">
      <c r="A38" s="435" t="s">
        <v>2635</v>
      </c>
      <c r="B38" s="3231" t="str">
        <f>IF('Part III-Sources of Funds'!$I$38="","",-FV('Part III-Sources of Funds'!$K$38/12,12,B24/12,'Part III-Sources of Funds'!$I$38))</f>
        <v/>
      </c>
      <c r="C38" s="3231" t="str">
        <f>IF('Part III-Sources of Funds'!$I$38="","",-FV('Part III-Sources of Funds'!$K$38/12,12,C24/12,B38))</f>
        <v/>
      </c>
      <c r="D38" s="3231" t="str">
        <f>IF('Part III-Sources of Funds'!$I$38="","",-FV('Part III-Sources of Funds'!$K$38/12,12,D24/12,C38))</f>
        <v/>
      </c>
      <c r="E38" s="3231" t="str">
        <f>IF('Part III-Sources of Funds'!$I$38="","",-FV('Part III-Sources of Funds'!$K$38/12,12,E24/12,D38))</f>
        <v/>
      </c>
      <c r="F38" s="3231" t="str">
        <f>IF('Part III-Sources of Funds'!$I$38="","",-FV('Part III-Sources of Funds'!$K$38/12,12,F24/12,E38))</f>
        <v/>
      </c>
      <c r="G38" s="3231" t="str">
        <f>IF('Part III-Sources of Funds'!$I$38="","",-FV('Part III-Sources of Funds'!$K$38/12,12,G24/12,F38))</f>
        <v/>
      </c>
      <c r="H38" s="3231" t="str">
        <f>IF('Part III-Sources of Funds'!$I$38="","",-FV('Part III-Sources of Funds'!$K$38/12,12,H24/12,G38))</f>
        <v/>
      </c>
      <c r="I38" s="3231" t="str">
        <f>IF('Part III-Sources of Funds'!$I$38="","",-FV('Part III-Sources of Funds'!$K$38/12,12,I24/12,H38))</f>
        <v/>
      </c>
      <c r="J38" s="3231" t="str">
        <f>IF('Part III-Sources of Funds'!$I$38="","",-FV('Part III-Sources of Funds'!$K$38/12,12,J24/12,I38))</f>
        <v/>
      </c>
      <c r="K38" s="3231" t="str">
        <f>IF('Part III-Sources of Funds'!$I$38="","",-FV('Part III-Sources of Funds'!$K$38/12,12,K24/12,J38))</f>
        <v/>
      </c>
      <c r="N38" s="3222"/>
      <c r="O38" s="3223"/>
      <c r="Q38" s="1040">
        <v>20</v>
      </c>
      <c r="R38" s="1197">
        <f>-SUM($B$29:$K$29) - SUM($B$59:$K$59)</f>
        <v>6170</v>
      </c>
      <c r="S38" s="1197">
        <f>SUM($B$30:$K$30) + SUM($B$60:$K$60)+R38</f>
        <v>797458.9637128677</v>
      </c>
    </row>
    <row r="39" spans="1:19" ht="13.15" customHeight="1">
      <c r="A39" s="435" t="s">
        <v>2636</v>
      </c>
      <c r="B39" s="3231" t="str">
        <f>IF('Part III-Sources of Funds'!$I$39="","",-FV('Part III-Sources of Funds'!$K$39/12,12,B25/12,'Part III-Sources of Funds'!$I$39))</f>
        <v/>
      </c>
      <c r="C39" s="3231" t="str">
        <f>IF('Part III-Sources of Funds'!$I$39="","",-FV('Part III-Sources of Funds'!$K$39/12,12,C25/12,B39))</f>
        <v/>
      </c>
      <c r="D39" s="3231" t="str">
        <f>IF('Part III-Sources of Funds'!$I$39="","",-FV('Part III-Sources of Funds'!$K$39/12,12,D25/12,C39))</f>
        <v/>
      </c>
      <c r="E39" s="3231" t="str">
        <f>IF('Part III-Sources of Funds'!$I$39="","",-FV('Part III-Sources of Funds'!$K$39/12,12,E25/12,D39))</f>
        <v/>
      </c>
      <c r="F39" s="3231" t="str">
        <f>IF('Part III-Sources of Funds'!$I$39="","",-FV('Part III-Sources of Funds'!$K$39/12,12,F25/12,E39))</f>
        <v/>
      </c>
      <c r="G39" s="3231" t="str">
        <f>IF('Part III-Sources of Funds'!$I$39="","",-FV('Part III-Sources of Funds'!$K$39/12,12,G25/12,F39))</f>
        <v/>
      </c>
      <c r="H39" s="3231" t="str">
        <f>IF('Part III-Sources of Funds'!$I$39="","",-FV('Part III-Sources of Funds'!$K$39/12,12,H25/12,G39))</f>
        <v/>
      </c>
      <c r="I39" s="3231" t="str">
        <f>IF('Part III-Sources of Funds'!$I$39="","",-FV('Part III-Sources of Funds'!$K$39/12,12,I25/12,H39))</f>
        <v/>
      </c>
      <c r="J39" s="3231" t="str">
        <f>IF('Part III-Sources of Funds'!$I$39="","",-FV('Part III-Sources of Funds'!$K$39/12,12,J25/12,I39))</f>
        <v/>
      </c>
      <c r="K39" s="3231" t="str">
        <f>IF('Part III-Sources of Funds'!$I$39="","",-FV('Part III-Sources of Funds'!$K$39/12,12,K25/12,J39))</f>
        <v/>
      </c>
      <c r="N39" s="3222"/>
      <c r="O39" s="3223"/>
    </row>
    <row r="40" spans="1:19" ht="13.15" customHeight="1">
      <c r="A40" s="22" t="s">
        <v>792</v>
      </c>
      <c r="B40" s="3231" t="str">
        <f>IF('Part III-Sources of Funds'!$I$40="","",-FV('Part III-Sources of Funds'!$K$40/12,12,B26/12,'Part III-Sources of Funds'!$I$40))</f>
        <v/>
      </c>
      <c r="C40" s="3231" t="str">
        <f>IF('Part III-Sources of Funds'!$I$40="","",-FV('Part III-Sources of Funds'!$K$40/12,12,C26/12,B40))</f>
        <v/>
      </c>
      <c r="D40" s="3231" t="str">
        <f>IF('Part III-Sources of Funds'!$I$40="","",-FV('Part III-Sources of Funds'!$K$40/12,12,D26/12,C40))</f>
        <v/>
      </c>
      <c r="E40" s="3231" t="str">
        <f>IF('Part III-Sources of Funds'!$I$40="","",-FV('Part III-Sources of Funds'!$K$40/12,12,E26/12,D40))</f>
        <v/>
      </c>
      <c r="F40" s="3231" t="str">
        <f>IF('Part III-Sources of Funds'!$I$40="","",-FV('Part III-Sources of Funds'!$K$40/12,12,F26/12,E40))</f>
        <v/>
      </c>
      <c r="G40" s="3231" t="str">
        <f>IF('Part III-Sources of Funds'!$I$40="","",-FV('Part III-Sources of Funds'!$K$40/12,12,G26/12,F40))</f>
        <v/>
      </c>
      <c r="H40" s="3231" t="str">
        <f>IF('Part III-Sources of Funds'!$I$40="","",-FV('Part III-Sources of Funds'!$K$40/12,12,H26/12,G40))</f>
        <v/>
      </c>
      <c r="I40" s="3231" t="str">
        <f>IF('Part III-Sources of Funds'!$I$40="","",-FV('Part III-Sources of Funds'!$K$40/12,12,I26/12,H40))</f>
        <v/>
      </c>
      <c r="J40" s="3231" t="str">
        <f>IF('Part III-Sources of Funds'!$I$40="","",-FV('Part III-Sources of Funds'!$K$40/12,12,J26/12,I40))</f>
        <v/>
      </c>
      <c r="K40" s="3231" t="str">
        <f>IF('Part III-Sources of Funds'!$I$40="","",-FV('Part III-Sources of Funds'!$K$40/12,12,K26/12,J40))</f>
        <v/>
      </c>
      <c r="N40" s="3222"/>
      <c r="O40" s="3223"/>
    </row>
    <row r="41" spans="1:19" ht="13.15" customHeight="1">
      <c r="A41" s="435" t="s">
        <v>4127</v>
      </c>
      <c r="B41" s="3234">
        <f>IF('Part III-Sources of Funds'!$I$42="","",-FV('Part III-Sources of Funds'!$K$42/12,12,B29/12,'Part III-Sources of Funds'!$I$42))</f>
        <v>0</v>
      </c>
      <c r="C41" s="3234">
        <f>IF('Part III-Sources of Funds'!$I$42="","",IF(-FV('Part III-Sources of Funds'!$K$42/12,12,C29/12,B41)&gt;0,-FV('Part III-Sources of Funds'!$K$42/12,12,C29/12,B41),0))</f>
        <v>0</v>
      </c>
      <c r="D41" s="3234">
        <f>IF('Part III-Sources of Funds'!$I$42="","",IF(-FV('Part III-Sources of Funds'!$K$42/12,12,D29/12,C41)&gt;0,-FV('Part III-Sources of Funds'!$K$42/12,12,D29/12,C41),0))</f>
        <v>0</v>
      </c>
      <c r="E41" s="3234">
        <f>IF('Part III-Sources of Funds'!$I$42="","",IF(-FV('Part III-Sources of Funds'!$K$42/12,12,E29/12,D41)&gt;0,-FV('Part III-Sources of Funds'!$K$42/12,12,E29/12,D41),0))</f>
        <v>0</v>
      </c>
      <c r="F41" s="3234">
        <f>IF('Part III-Sources of Funds'!$I$42="","",IF(-FV('Part III-Sources of Funds'!$K$42/12,12,F29/12,E41)&gt;0,-FV('Part III-Sources of Funds'!$K$42/12,12,F29/12,E41),0))</f>
        <v>0</v>
      </c>
      <c r="G41" s="3234">
        <f>IF('Part III-Sources of Funds'!$I$42="","",IF(-FV('Part III-Sources of Funds'!$K$42/12,12,G29/12,F41)&gt;0,-FV('Part III-Sources of Funds'!$K$42/12,12,G29/12,F41),0))</f>
        <v>0</v>
      </c>
      <c r="H41" s="3234">
        <f>IF('Part III-Sources of Funds'!$I$42="","",IF(-FV('Part III-Sources of Funds'!$K$42/12,12,H29/12,G41)&gt;0,-FV('Part III-Sources of Funds'!$K$42/12,12,H29/12,G41),0))</f>
        <v>0</v>
      </c>
      <c r="I41" s="3234">
        <f>IF('Part III-Sources of Funds'!$I$42="","",IF(-FV('Part III-Sources of Funds'!$K$42/12,12,I29/12,H41)&gt;0,-FV('Part III-Sources of Funds'!$K$42/12,12,I29/12,H41),0))</f>
        <v>0</v>
      </c>
      <c r="J41" s="3234">
        <f>IF('Part III-Sources of Funds'!$I$42="","",IF(-FV('Part III-Sources of Funds'!$K$42/12,12,J29/12,I41)&gt;0,-FV('Part III-Sources of Funds'!$K$42/12,12,J29/12,I41),0))</f>
        <v>0</v>
      </c>
      <c r="K41" s="3234">
        <f>IF('Part III-Sources of Funds'!$I$42="","",IF(-FV('Part III-Sources of Funds'!$K$42/12,12,K29/12,J41)&gt;0,-FV('Part III-Sources of Funds'!$K$42/12,12,K29/12,J41),0))</f>
        <v>0</v>
      </c>
      <c r="N41" s="3228"/>
      <c r="O41" s="3229"/>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710551.84741494397</v>
      </c>
      <c r="C44" s="20">
        <f t="shared" si="16"/>
        <v>724762.88436324266</v>
      </c>
      <c r="D44" s="20">
        <f t="shared" si="16"/>
        <v>739258.14205050759</v>
      </c>
      <c r="E44" s="20">
        <f t="shared" si="16"/>
        <v>754043.30489151774</v>
      </c>
      <c r="F44" s="20">
        <f t="shared" si="16"/>
        <v>769124.1709893482</v>
      </c>
      <c r="G44" s="20">
        <f t="shared" si="16"/>
        <v>784506.65440913488</v>
      </c>
      <c r="H44" s="20">
        <f t="shared" si="16"/>
        <v>800196.78749731777</v>
      </c>
      <c r="I44" s="20">
        <f t="shared" si="16"/>
        <v>816200.72324726416</v>
      </c>
      <c r="J44" s="20">
        <f t="shared" si="16"/>
        <v>832524.73771220935</v>
      </c>
      <c r="K44" s="21">
        <f t="shared" si="16"/>
        <v>849175.23246645357</v>
      </c>
      <c r="N44" s="3220"/>
      <c r="O44" s="3221"/>
    </row>
    <row r="45" spans="1:19" ht="13.15" customHeight="1">
      <c r="A45" s="22" t="s">
        <v>1026</v>
      </c>
      <c r="B45" s="23">
        <f t="shared" ref="B45:K45" si="17">$B$15*(1+$B$5)^(B43-1)</f>
        <v>14211.036948298879</v>
      </c>
      <c r="C45" s="23">
        <f t="shared" si="17"/>
        <v>14495.257687264853</v>
      </c>
      <c r="D45" s="23">
        <f t="shared" si="17"/>
        <v>14785.162841010153</v>
      </c>
      <c r="E45" s="23">
        <f t="shared" si="17"/>
        <v>15080.866097830354</v>
      </c>
      <c r="F45" s="23">
        <f t="shared" si="17"/>
        <v>15382.483419786964</v>
      </c>
      <c r="G45" s="23">
        <f t="shared" si="17"/>
        <v>15690.133088182698</v>
      </c>
      <c r="H45" s="23">
        <f t="shared" si="17"/>
        <v>16003.935749946355</v>
      </c>
      <c r="I45" s="23">
        <f t="shared" si="17"/>
        <v>16324.014464945283</v>
      </c>
      <c r="J45" s="23">
        <f t="shared" si="17"/>
        <v>16650.494754244188</v>
      </c>
      <c r="K45" s="24">
        <f t="shared" si="17"/>
        <v>16983.504649329072</v>
      </c>
      <c r="N45" s="3222"/>
      <c r="O45" s="3223"/>
    </row>
    <row r="46" spans="1:19" ht="13.15" customHeight="1">
      <c r="A46" s="22" t="s">
        <v>2421</v>
      </c>
      <c r="B46" s="23">
        <f t="shared" ref="B46:K46" si="18">-(B44+B45)*$B$8</f>
        <v>-50733.40190542701</v>
      </c>
      <c r="C46" s="23">
        <f t="shared" si="18"/>
        <v>-51748.069943535527</v>
      </c>
      <c r="D46" s="23">
        <f t="shared" si="18"/>
        <v>-52783.031342406248</v>
      </c>
      <c r="E46" s="23">
        <f t="shared" si="18"/>
        <v>-53838.691969254374</v>
      </c>
      <c r="F46" s="23">
        <f t="shared" si="18"/>
        <v>-54915.46580863947</v>
      </c>
      <c r="G46" s="23">
        <f t="shared" si="18"/>
        <v>-56013.775124812229</v>
      </c>
      <c r="H46" s="23">
        <f t="shared" si="18"/>
        <v>-57134.050627308497</v>
      </c>
      <c r="I46" s="23">
        <f t="shared" si="18"/>
        <v>-58276.731639854668</v>
      </c>
      <c r="J46" s="23">
        <f t="shared" si="18"/>
        <v>-59442.266272651752</v>
      </c>
      <c r="K46" s="24">
        <f t="shared" si="18"/>
        <v>-60631.111598104791</v>
      </c>
      <c r="N46" s="3222"/>
      <c r="O46" s="3223"/>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2"/>
      <c r="O47" s="3223"/>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2"/>
      <c r="O48" s="3223"/>
    </row>
    <row r="49" spans="1:18" ht="13.15" customHeight="1">
      <c r="A49" s="22" t="s">
        <v>620</v>
      </c>
      <c r="B49" s="23">
        <f t="shared" ref="B49:K49" si="19">$B$19*(1+$B$6)^(B43-1)</f>
        <v>-407776.48348611081</v>
      </c>
      <c r="C49" s="23">
        <f t="shared" si="19"/>
        <v>-420009.77799069416</v>
      </c>
      <c r="D49" s="23">
        <f t="shared" si="19"/>
        <v>-432610.07133041491</v>
      </c>
      <c r="E49" s="23">
        <f t="shared" si="19"/>
        <v>-445588.37347032735</v>
      </c>
      <c r="F49" s="23">
        <f t="shared" si="19"/>
        <v>-458956.02467443718</v>
      </c>
      <c r="G49" s="23">
        <f t="shared" si="19"/>
        <v>-472724.70541467034</v>
      </c>
      <c r="H49" s="23">
        <f t="shared" si="19"/>
        <v>-486906.44657711039</v>
      </c>
      <c r="I49" s="23">
        <f t="shared" si="19"/>
        <v>-501513.63997442368</v>
      </c>
      <c r="J49" s="23">
        <f t="shared" si="19"/>
        <v>-516559.04917365639</v>
      </c>
      <c r="K49" s="24">
        <f t="shared" si="19"/>
        <v>-532055.82064886612</v>
      </c>
      <c r="N49" s="3222"/>
      <c r="O49" s="322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-40442</v>
      </c>
      <c r="C50" s="23">
        <f>IF(AND('Part VII-Pro Forma'!$G$8="Yes",'Part VII-Pro Forma'!$G$9="Yes"),"Choose One!",IF('Part VII-Pro Forma'!$G$8="Yes",ROUND((-$K$8*(1+'Part VII-Pro Forma'!$B$6)^('Part VII-Pro Forma'!C43-1)),),IF('Part VII-Pro Forma'!$G$9="Yes",ROUND((-(SUM(C44:C47)*'Part VII-Pro Forma'!$K$9)),),"Choose mgt fee")))</f>
        <v>-41251</v>
      </c>
      <c r="D50" s="23">
        <f>IF(AND('Part VII-Pro Forma'!$G$8="Yes",'Part VII-Pro Forma'!$G$9="Yes"),"Choose One!",IF('Part VII-Pro Forma'!$G$8="Yes",ROUND((-$K$8*(1+'Part VII-Pro Forma'!$B$6)^('Part VII-Pro Forma'!D43-1)),),IF('Part VII-Pro Forma'!$G$9="Yes",ROUND((-(SUM(D44:D47)*'Part VII-Pro Forma'!$K$9)),),"Choose mgt fee")))</f>
        <v>-42076</v>
      </c>
      <c r="E50" s="23">
        <f>IF(AND('Part VII-Pro Forma'!$G$8="Yes",'Part VII-Pro Forma'!$G$9="Yes"),"Choose One!",IF('Part VII-Pro Forma'!$G$8="Yes",ROUND((-$K$8*(1+'Part VII-Pro Forma'!$B$6)^('Part VII-Pro Forma'!E43-1)),),IF('Part VII-Pro Forma'!$G$9="Yes",ROUND((-(SUM(E44:E47)*'Part VII-Pro Forma'!$K$9)),),"Choose mgt fee")))</f>
        <v>-42917</v>
      </c>
      <c r="F50" s="23">
        <f>IF(AND('Part VII-Pro Forma'!$G$8="Yes",'Part VII-Pro Forma'!$G$9="Yes"),"Choose One!",IF('Part VII-Pro Forma'!$G$8="Yes",ROUND((-$K$8*(1+'Part VII-Pro Forma'!$B$6)^('Part VII-Pro Forma'!F43-1)),),IF('Part VII-Pro Forma'!$G$9="Yes",ROUND((-(SUM(F44:F47)*'Part VII-Pro Forma'!$K$9)),),"Choose mgt fee")))</f>
        <v>-43775</v>
      </c>
      <c r="G50" s="23">
        <f>IF(AND('Part VII-Pro Forma'!$G$8="Yes",'Part VII-Pro Forma'!$G$9="Yes"),"Choose One!",IF('Part VII-Pro Forma'!$G$8="Yes",ROUND((-$K$8*(1+'Part VII-Pro Forma'!$B$6)^('Part VII-Pro Forma'!G43-1)),),IF('Part VII-Pro Forma'!$G$9="Yes",ROUND((-(SUM(G44:G47)*'Part VII-Pro Forma'!$K$9)),),"Choose mgt fee")))</f>
        <v>-44651</v>
      </c>
      <c r="H50" s="23">
        <f>IF(AND('Part VII-Pro Forma'!$G$8="Yes",'Part VII-Pro Forma'!$G$9="Yes"),"Choose One!",IF('Part VII-Pro Forma'!$G$8="Yes",ROUND((-$K$8*(1+'Part VII-Pro Forma'!$B$6)^('Part VII-Pro Forma'!H43-1)),),IF('Part VII-Pro Forma'!$G$9="Yes",ROUND((-(SUM(H44:H47)*'Part VII-Pro Forma'!$K$9)),),"Choose mgt fee")))</f>
        <v>-45544</v>
      </c>
      <c r="I50" s="23">
        <f>IF(AND('Part VII-Pro Forma'!$G$8="Yes",'Part VII-Pro Forma'!$G$9="Yes"),"Choose One!",IF('Part VII-Pro Forma'!$G$8="Yes",ROUND((-$K$8*(1+'Part VII-Pro Forma'!$B$6)^('Part VII-Pro Forma'!I43-1)),),IF('Part VII-Pro Forma'!$G$9="Yes",ROUND((-(SUM(I44:I47)*'Part VII-Pro Forma'!$K$9)),),"Choose mgt fee")))</f>
        <v>-46455</v>
      </c>
      <c r="J50" s="23">
        <f>IF(AND('Part VII-Pro Forma'!$G$8="Yes",'Part VII-Pro Forma'!$G$9="Yes"),"Choose One!",IF('Part VII-Pro Forma'!$G$8="Yes",ROUND((-$K$8*(1+'Part VII-Pro Forma'!$B$6)^('Part VII-Pro Forma'!J43-1)),),IF('Part VII-Pro Forma'!$G$9="Yes",ROUND((-(SUM(J44:J47)*'Part VII-Pro Forma'!$K$9)),),"Choose mgt fee")))</f>
        <v>-47384</v>
      </c>
      <c r="K50" s="23">
        <f>IF(AND('Part VII-Pro Forma'!$G$8="Yes",'Part VII-Pro Forma'!$G$9="Yes"),"Choose One!",IF('Part VII-Pro Forma'!$G$8="Yes",ROUND((-$K$8*(1+'Part VII-Pro Forma'!$B$6)^('Part VII-Pro Forma'!K43-1)),),IF('Part VII-Pro Forma'!$G$9="Yes",ROUND((-(SUM(K44:K47)*'Part VII-Pro Forma'!$K$9)),),"Choose mgt fee")))</f>
        <v>-48332</v>
      </c>
      <c r="N50" s="3222"/>
      <c r="O50" s="3223"/>
    </row>
    <row r="51" spans="1:18" ht="13.15" customHeight="1">
      <c r="A51" s="22" t="s">
        <v>1214</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N51" s="3222"/>
      <c r="O51" s="3223"/>
    </row>
    <row r="52" spans="1:18" ht="13.15" customHeight="1">
      <c r="A52" s="22" t="s">
        <v>1215</v>
      </c>
      <c r="B52" s="23">
        <f t="shared" ref="B52:K52" si="21">SUM(B44:B51)</f>
        <v>201620.50414351089</v>
      </c>
      <c r="C52" s="23">
        <f t="shared" si="21"/>
        <v>201333.08444323781</v>
      </c>
      <c r="D52" s="23">
        <f t="shared" si="21"/>
        <v>200910.50625546533</v>
      </c>
      <c r="E52" s="23">
        <f t="shared" si="21"/>
        <v>200346.49870763818</v>
      </c>
      <c r="F52" s="23">
        <f t="shared" si="21"/>
        <v>199633.54887866662</v>
      </c>
      <c r="G52" s="23">
        <f t="shared" si="21"/>
        <v>198763.89345902117</v>
      </c>
      <c r="H52" s="23">
        <f t="shared" si="21"/>
        <v>197731.51013906708</v>
      </c>
      <c r="I52" s="23">
        <f t="shared" si="21"/>
        <v>196528.10871703955</v>
      </c>
      <c r="J52" s="23">
        <f t="shared" si="21"/>
        <v>195146.1219178272</v>
      </c>
      <c r="K52" s="24">
        <f t="shared" si="21"/>
        <v>193576.69591342393</v>
      </c>
      <c r="N52" s="3222"/>
      <c r="O52" s="3223"/>
    </row>
    <row r="53" spans="1:18" ht="13.15" customHeight="1">
      <c r="A53" s="22" t="str">
        <f>$A23</f>
        <v>Mortgage A</v>
      </c>
      <c r="B53" s="3230">
        <f>IF('Part III-Sources of Funds'!$N$37="", 0,-'Part III-Sources of Funds'!$N$37)</f>
        <v>-154731.08439713262</v>
      </c>
      <c r="C53" s="3230">
        <f>IF('Part III-Sources of Funds'!$N$37="", 0,-'Part III-Sources of Funds'!$N$37)</f>
        <v>-154731.08439713262</v>
      </c>
      <c r="D53" s="3230">
        <f>IF('Part III-Sources of Funds'!$N$37="", 0,-'Part III-Sources of Funds'!$N$37)</f>
        <v>-154731.08439713262</v>
      </c>
      <c r="E53" s="3230">
        <f>IF('Part III-Sources of Funds'!$N$37="", 0,-'Part III-Sources of Funds'!$N$37)</f>
        <v>-154731.08439713262</v>
      </c>
      <c r="F53" s="3230">
        <f>IF('Part III-Sources of Funds'!$N$37="", 0,-'Part III-Sources of Funds'!$N$37)</f>
        <v>-154731.08439713262</v>
      </c>
      <c r="G53" s="3230">
        <f>IF('Part III-Sources of Funds'!$N$37="", 0,-'Part III-Sources of Funds'!$N$37)</f>
        <v>-154731.08439713262</v>
      </c>
      <c r="H53" s="3230">
        <f>IF('Part III-Sources of Funds'!$N$37="", 0,-'Part III-Sources of Funds'!$N$37)</f>
        <v>-154731.08439713262</v>
      </c>
      <c r="I53" s="3230">
        <f>IF('Part III-Sources of Funds'!$N$37="", 0,-'Part III-Sources of Funds'!$N$37)</f>
        <v>-154731.08439713262</v>
      </c>
      <c r="J53" s="3230">
        <f>IF('Part III-Sources of Funds'!$N$37="", 0,-'Part III-Sources of Funds'!$N$37)</f>
        <v>-154731.08439713262</v>
      </c>
      <c r="K53" s="3230">
        <f>IF('Part III-Sources of Funds'!$N$37="", 0,-'Part III-Sources of Funds'!$N$37)</f>
        <v>-154731.08439713262</v>
      </c>
      <c r="N53" s="3222"/>
      <c r="O53" s="3223"/>
    </row>
    <row r="54" spans="1:18" ht="13.15" customHeight="1">
      <c r="A54" s="22" t="str">
        <f>$A24</f>
        <v>Mortgage B</v>
      </c>
      <c r="B54" s="3231">
        <f>IF('Part III-Sources of Funds'!$N$38="", 0,-'Part III-Sources of Funds'!$N$38)</f>
        <v>0</v>
      </c>
      <c r="C54" s="3231">
        <f>IF('Part III-Sources of Funds'!$N$38="", 0,-'Part III-Sources of Funds'!$N$38)</f>
        <v>0</v>
      </c>
      <c r="D54" s="3231">
        <f>IF('Part III-Sources of Funds'!$N$38="", 0,-'Part III-Sources of Funds'!$N$38)</f>
        <v>0</v>
      </c>
      <c r="E54" s="3231">
        <f>IF('Part III-Sources of Funds'!$N$38="", 0,-'Part III-Sources of Funds'!$N$38)</f>
        <v>0</v>
      </c>
      <c r="F54" s="3231">
        <f>IF('Part III-Sources of Funds'!$N$38="", 0,-'Part III-Sources of Funds'!$N$38)</f>
        <v>0</v>
      </c>
      <c r="G54" s="3231">
        <f>IF('Part III-Sources of Funds'!$N$38="", 0,-'Part III-Sources of Funds'!$N$38)</f>
        <v>0</v>
      </c>
      <c r="H54" s="3231">
        <f>IF('Part III-Sources of Funds'!$N$38="", 0,-'Part III-Sources of Funds'!$N$38)</f>
        <v>0</v>
      </c>
      <c r="I54" s="3231">
        <f>IF('Part III-Sources of Funds'!$N$38="", 0,-'Part III-Sources of Funds'!$N$38)</f>
        <v>0</v>
      </c>
      <c r="J54" s="3231">
        <f>IF('Part III-Sources of Funds'!$N$38="", 0,-'Part III-Sources of Funds'!$N$38)</f>
        <v>0</v>
      </c>
      <c r="K54" s="3231">
        <f>IF('Part III-Sources of Funds'!$N$38="", 0,-'Part III-Sources of Funds'!$N$38)</f>
        <v>0</v>
      </c>
      <c r="N54" s="3222"/>
      <c r="O54" s="3223"/>
    </row>
    <row r="55" spans="1:18" ht="13.15" customHeight="1">
      <c r="A55" s="22" t="str">
        <f>$A25</f>
        <v>Mortgage C</v>
      </c>
      <c r="B55" s="3231">
        <f>IF('Part III-Sources of Funds'!$N$39="", 0,-'Part III-Sources of Funds'!$N$39)</f>
        <v>0</v>
      </c>
      <c r="C55" s="3231">
        <f>IF('Part III-Sources of Funds'!$N$39="", 0,-'Part III-Sources of Funds'!$N$39)</f>
        <v>0</v>
      </c>
      <c r="D55" s="3231">
        <f>IF('Part III-Sources of Funds'!$N$39="", 0,-'Part III-Sources of Funds'!$N$39)</f>
        <v>0</v>
      </c>
      <c r="E55" s="3231">
        <f>IF('Part III-Sources of Funds'!$N$39="", 0,-'Part III-Sources of Funds'!$N$39)</f>
        <v>0</v>
      </c>
      <c r="F55" s="3231">
        <f>IF('Part III-Sources of Funds'!$N$39="", 0,-'Part III-Sources of Funds'!$N$39)</f>
        <v>0</v>
      </c>
      <c r="G55" s="3231">
        <f>IF('Part III-Sources of Funds'!$N$39="", 0,-'Part III-Sources of Funds'!$N$39)</f>
        <v>0</v>
      </c>
      <c r="H55" s="3231">
        <f>IF('Part III-Sources of Funds'!$N$39="", 0,-'Part III-Sources of Funds'!$N$39)</f>
        <v>0</v>
      </c>
      <c r="I55" s="3231">
        <f>IF('Part III-Sources of Funds'!$N$39="", 0,-'Part III-Sources of Funds'!$N$39)</f>
        <v>0</v>
      </c>
      <c r="J55" s="3231">
        <f>IF('Part III-Sources of Funds'!$N$39="", 0,-'Part III-Sources of Funds'!$N$39)</f>
        <v>0</v>
      </c>
      <c r="K55" s="3231">
        <f>IF('Part III-Sources of Funds'!$N$39="", 0,-'Part III-Sources of Funds'!$N$39)</f>
        <v>0</v>
      </c>
      <c r="N55" s="3222"/>
      <c r="O55" s="3223"/>
    </row>
    <row r="56" spans="1:18" ht="13.15" customHeight="1">
      <c r="A56" s="22" t="str">
        <f>$A26</f>
        <v>D/S Other Source,not DDF</v>
      </c>
      <c r="B56" s="3231">
        <f>IF('Part III-Sources of Funds'!$N$40="", 0,-'Part III-Sources of Funds'!$N$40)</f>
        <v>0</v>
      </c>
      <c r="C56" s="3231">
        <f>IF('Part III-Sources of Funds'!$N$40="", 0,-'Part III-Sources of Funds'!$N$40)</f>
        <v>0</v>
      </c>
      <c r="D56" s="3231">
        <f>IF('Part III-Sources of Funds'!$N$40="", 0,-'Part III-Sources of Funds'!$N$40)</f>
        <v>0</v>
      </c>
      <c r="E56" s="3231">
        <f>IF('Part III-Sources of Funds'!$N$40="", 0,-'Part III-Sources of Funds'!$N$40)</f>
        <v>0</v>
      </c>
      <c r="F56" s="3231">
        <f>IF('Part III-Sources of Funds'!$N$40="", 0,-'Part III-Sources of Funds'!$N$40)</f>
        <v>0</v>
      </c>
      <c r="G56" s="3231">
        <f>IF('Part III-Sources of Funds'!$N$40="", 0,-'Part III-Sources of Funds'!$N$40)</f>
        <v>0</v>
      </c>
      <c r="H56" s="3231">
        <f>IF('Part III-Sources of Funds'!$N$40="", 0,-'Part III-Sources of Funds'!$N$40)</f>
        <v>0</v>
      </c>
      <c r="I56" s="3231">
        <f>IF('Part III-Sources of Funds'!$N$40="", 0,-'Part III-Sources of Funds'!$N$40)</f>
        <v>0</v>
      </c>
      <c r="J56" s="3231">
        <f>IF('Part III-Sources of Funds'!$N$40="", 0,-'Part III-Sources of Funds'!$N$40)</f>
        <v>0</v>
      </c>
      <c r="K56" s="3231">
        <f>IF('Part III-Sources of Funds'!$N$40="", 0,-'Part III-Sources of Funds'!$N$40)</f>
        <v>0</v>
      </c>
      <c r="N56" s="3222"/>
      <c r="O56" s="3223"/>
    </row>
    <row r="57" spans="1:18" ht="13.15" customHeight="1">
      <c r="A57" s="22" t="s">
        <v>771</v>
      </c>
      <c r="B57" s="3232"/>
      <c r="C57" s="3232"/>
      <c r="D57" s="3232"/>
      <c r="E57" s="3232"/>
      <c r="F57" s="3232"/>
      <c r="G57" s="3232"/>
      <c r="H57" s="3232"/>
      <c r="I57" s="3232"/>
      <c r="J57" s="3232"/>
      <c r="K57" s="3232"/>
      <c r="N57" s="3222"/>
      <c r="O57" s="3223"/>
    </row>
    <row r="58" spans="1:18" ht="13.15" customHeight="1">
      <c r="A58" s="435" t="s">
        <v>1174</v>
      </c>
      <c r="B58" s="3231">
        <f>+K28</f>
        <v>-5000</v>
      </c>
      <c r="C58" s="3231">
        <f t="shared" ref="C58:K58" si="22">+B58</f>
        <v>-5000</v>
      </c>
      <c r="D58" s="3231">
        <f t="shared" si="22"/>
        <v>-5000</v>
      </c>
      <c r="E58" s="3231">
        <f t="shared" si="22"/>
        <v>-5000</v>
      </c>
      <c r="F58" s="3231">
        <f t="shared" si="22"/>
        <v>-5000</v>
      </c>
      <c r="G58" s="3231">
        <f t="shared" si="22"/>
        <v>-5000</v>
      </c>
      <c r="H58" s="3231">
        <f t="shared" si="22"/>
        <v>-5000</v>
      </c>
      <c r="I58" s="3231">
        <f t="shared" si="22"/>
        <v>-5000</v>
      </c>
      <c r="J58" s="3231">
        <f t="shared" si="22"/>
        <v>-5000</v>
      </c>
      <c r="K58" s="3231">
        <f t="shared" si="22"/>
        <v>-5000</v>
      </c>
      <c r="N58" s="3222"/>
      <c r="O58" s="3223"/>
      <c r="Q58" s="1040"/>
      <c r="R58" s="1197"/>
    </row>
    <row r="59" spans="1:18" ht="13.15" customHeight="1">
      <c r="A59" s="435" t="s">
        <v>4126</v>
      </c>
      <c r="B59" s="3234">
        <f>IF('Part III-Sources of Funds'!$N$42="", 0,-'Part III-Sources of Funds'!$N$42)</f>
        <v>0</v>
      </c>
      <c r="C59" s="3234">
        <f>IF('Part III-Sources of Funds'!$N$42="", 0,-'Part III-Sources of Funds'!$N$42)</f>
        <v>0</v>
      </c>
      <c r="D59" s="3234">
        <f>IF('Part III-Sources of Funds'!$N$42="", 0,-'Part III-Sources of Funds'!$N$42)</f>
        <v>0</v>
      </c>
      <c r="E59" s="3234">
        <f>IF('Part III-Sources of Funds'!$N$42="", 0,-'Part III-Sources of Funds'!$N$42)</f>
        <v>0</v>
      </c>
      <c r="F59" s="3234">
        <f>IF('Part III-Sources of Funds'!$N$42="", 0,-'Part III-Sources of Funds'!$N$42)</f>
        <v>0</v>
      </c>
      <c r="G59" s="3234"/>
      <c r="H59" s="3234"/>
      <c r="I59" s="3234"/>
      <c r="J59" s="3234"/>
      <c r="K59" s="3234"/>
      <c r="N59" s="3222"/>
      <c r="O59" s="3223"/>
    </row>
    <row r="60" spans="1:18" ht="13.15" customHeight="1">
      <c r="A60" s="22" t="s">
        <v>1175</v>
      </c>
      <c r="B60" s="23">
        <f>SUM(B52:B59)</f>
        <v>41889.419746378262</v>
      </c>
      <c r="C60" s="23">
        <f t="shared" ref="C60:K60" si="23">SUM(C52:C59)</f>
        <v>41602.000046105182</v>
      </c>
      <c r="D60" s="23">
        <f t="shared" si="23"/>
        <v>41179.421858332702</v>
      </c>
      <c r="E60" s="23">
        <f t="shared" si="23"/>
        <v>40615.414310505555</v>
      </c>
      <c r="F60" s="23">
        <f t="shared" si="23"/>
        <v>39902.464481534</v>
      </c>
      <c r="G60" s="23">
        <f t="shared" si="23"/>
        <v>39032.809061888547</v>
      </c>
      <c r="H60" s="23">
        <f t="shared" si="23"/>
        <v>38000.42574193445</v>
      </c>
      <c r="I60" s="23">
        <f t="shared" si="23"/>
        <v>36797.024319906923</v>
      </c>
      <c r="J60" s="23">
        <f t="shared" si="23"/>
        <v>35415.037520694576</v>
      </c>
      <c r="K60" s="23">
        <f t="shared" si="23"/>
        <v>33845.611516291305</v>
      </c>
      <c r="N60" s="3222"/>
      <c r="O60" s="3223"/>
    </row>
    <row r="61" spans="1:18" ht="13.15" customHeight="1">
      <c r="A61" s="22" t="str">
        <f>$A31</f>
        <v>DCR Mortgage A</v>
      </c>
      <c r="B61" s="25">
        <f t="shared" ref="B61:K61" si="24">IF(B53=0,"",-B52/B53)</f>
        <v>1.3030381382581921</v>
      </c>
      <c r="C61" s="25">
        <f t="shared" si="24"/>
        <v>1.301180594886135</v>
      </c>
      <c r="D61" s="25">
        <f t="shared" si="24"/>
        <v>1.2984495457926777</v>
      </c>
      <c r="E61" s="25">
        <f t="shared" si="24"/>
        <v>1.2948044634226765</v>
      </c>
      <c r="F61" s="25">
        <f t="shared" si="24"/>
        <v>1.2901967930780307</v>
      </c>
      <c r="G61" s="25">
        <f t="shared" si="24"/>
        <v>1.2845763618438426</v>
      </c>
      <c r="H61" s="25">
        <f t="shared" si="24"/>
        <v>1.2779042485837533</v>
      </c>
      <c r="I61" s="25">
        <f t="shared" si="24"/>
        <v>1.2701268751702841</v>
      </c>
      <c r="J61" s="25">
        <f t="shared" si="24"/>
        <v>1.2611953356247758</v>
      </c>
      <c r="K61" s="26">
        <f t="shared" si="24"/>
        <v>1.2510524092016972</v>
      </c>
      <c r="N61" s="3222"/>
      <c r="O61" s="3223"/>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2"/>
      <c r="O62" s="3223"/>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2"/>
      <c r="O63" s="3223"/>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2"/>
      <c r="O64" s="3223"/>
    </row>
    <row r="65" spans="1:15" ht="13.15" customHeight="1">
      <c r="A65" s="435" t="s">
        <v>3739</v>
      </c>
      <c r="B65" s="25">
        <f t="shared" ref="B65:K65" si="28">IF(AND(B53=0,B54=0,B55=0,B56=0),"",-B52/(B53+B54+B55+B56))</f>
        <v>1.3030381382581921</v>
      </c>
      <c r="C65" s="25">
        <f t="shared" si="28"/>
        <v>1.301180594886135</v>
      </c>
      <c r="D65" s="25">
        <f t="shared" si="28"/>
        <v>1.2984495457926777</v>
      </c>
      <c r="E65" s="25">
        <f t="shared" si="28"/>
        <v>1.2948044634226765</v>
      </c>
      <c r="F65" s="25">
        <f t="shared" si="28"/>
        <v>1.2901967930780307</v>
      </c>
      <c r="G65" s="25">
        <f t="shared" si="28"/>
        <v>1.2845763618438426</v>
      </c>
      <c r="H65" s="25">
        <f t="shared" si="28"/>
        <v>1.2779042485837533</v>
      </c>
      <c r="I65" s="25">
        <f t="shared" si="28"/>
        <v>1.2701268751702841</v>
      </c>
      <c r="J65" s="25">
        <f t="shared" si="28"/>
        <v>1.2611953356247758</v>
      </c>
      <c r="K65" s="26">
        <f t="shared" si="28"/>
        <v>1.2510524092016972</v>
      </c>
      <c r="N65" s="3222"/>
      <c r="O65" s="3223"/>
    </row>
    <row r="66" spans="1:15" ht="13.15" customHeight="1">
      <c r="A66" s="22" t="s">
        <v>778</v>
      </c>
      <c r="B66" s="274">
        <f t="shared" ref="B66:K66" si="29">IF(OR(B50="Choose mgt fee",B50="Choose One!"),"",(B44+B45+B46+B47+B48) / -(B49+B50+B51))</f>
        <v>1.4267922782986735</v>
      </c>
      <c r="C66" s="274">
        <f t="shared" si="29"/>
        <v>1.4141147967753884</v>
      </c>
      <c r="D66" s="274">
        <f t="shared" si="29"/>
        <v>1.4015401213078902</v>
      </c>
      <c r="E66" s="274">
        <f t="shared" si="29"/>
        <v>1.3890684262940662</v>
      </c>
      <c r="F66" s="274">
        <f t="shared" si="29"/>
        <v>1.3766971808981803</v>
      </c>
      <c r="G66" s="274">
        <f t="shared" si="29"/>
        <v>1.3644241402006108</v>
      </c>
      <c r="H66" s="274">
        <f t="shared" si="29"/>
        <v>1.3522521362552256</v>
      </c>
      <c r="I66" s="274">
        <f t="shared" si="29"/>
        <v>1.3401788818711378</v>
      </c>
      <c r="J66" s="274">
        <f t="shared" si="29"/>
        <v>1.3282045739768353</v>
      </c>
      <c r="K66" s="275">
        <f t="shared" si="29"/>
        <v>1.3163271539412631</v>
      </c>
      <c r="N66" s="3222"/>
      <c r="O66" s="3223"/>
    </row>
    <row r="67" spans="1:15" ht="13.15" customHeight="1">
      <c r="A67" s="435" t="s">
        <v>2634</v>
      </c>
      <c r="B67" s="3235">
        <f>IF('Part III-Sources of Funds'!$I$37="","",-FV('Part III-Sources of Funds'!$K$37/12,12,B53/12,K37))</f>
        <v>2240367.4296374731</v>
      </c>
      <c r="C67" s="3235">
        <f>IF('Part III-Sources of Funds'!$I$37="","",-FV('Part III-Sources of Funds'!$K$37/12,12,C53/12,B67))</f>
        <v>2208049.9554393836</v>
      </c>
      <c r="D67" s="3235">
        <f>IF('Part III-Sources of Funds'!$I$37="","",-FV('Part III-Sources of Funds'!$K$37/12,12,D53/12,C67))</f>
        <v>2173909.5216687149</v>
      </c>
      <c r="E67" s="3235">
        <f>IF('Part III-Sources of Funds'!$I$37="","",-FV('Part III-Sources of Funds'!$K$37/12,12,E53/12,D67))</f>
        <v>2137843.2990764091</v>
      </c>
      <c r="F67" s="3235">
        <f>IF('Part III-Sources of Funds'!$I$37="","",-FV('Part III-Sources of Funds'!$K$37/12,12,F53/12,E67))</f>
        <v>2099742.6580354827</v>
      </c>
      <c r="G67" s="3235">
        <f>IF('Part III-Sources of Funds'!$I$37="","",-FV('Part III-Sources of Funds'!$K$37/12,12,G53/12,F67))</f>
        <v>2059492.8413541205</v>
      </c>
      <c r="H67" s="3235">
        <f>IF('Part III-Sources of Funds'!$I$37="","",-FV('Part III-Sources of Funds'!$K$37/12,12,H53/12,G67))</f>
        <v>2016972.6186328526</v>
      </c>
      <c r="I67" s="3235">
        <f>IF('Part III-Sources of Funds'!$I$37="","",-FV('Part III-Sources of Funds'!$K$37/12,12,I53/12,H67))</f>
        <v>1972053.9211247615</v>
      </c>
      <c r="J67" s="3235">
        <f>IF('Part III-Sources of Funds'!$I$37="","",-FV('Part III-Sources of Funds'!$K$37/12,12,J53/12,I67))</f>
        <v>1924601.4559989336</v>
      </c>
      <c r="K67" s="3235">
        <f>IF('Part III-Sources of Funds'!$I$37="","",-FV('Part III-Sources of Funds'!$K$37/12,12,K53/12,J67))</f>
        <v>1874472.2988453386</v>
      </c>
      <c r="N67" s="3222"/>
      <c r="O67" s="3223"/>
    </row>
    <row r="68" spans="1:15" ht="13.15" customHeight="1">
      <c r="A68" s="435" t="s">
        <v>2635</v>
      </c>
      <c r="B68" s="3231" t="str">
        <f>IF('Part III-Sources of Funds'!$I$38="","",-FV('Part III-Sources of Funds'!$K$38/12,12,B54/12,K38))</f>
        <v/>
      </c>
      <c r="C68" s="3231" t="str">
        <f>IF('Part III-Sources of Funds'!$I$38="","",-FV('Part III-Sources of Funds'!$K$38/12,12,C54/12,B68))</f>
        <v/>
      </c>
      <c r="D68" s="3231" t="str">
        <f>IF('Part III-Sources of Funds'!$I$38="","",-FV('Part III-Sources of Funds'!$K$38/12,12,D54/12,C68))</f>
        <v/>
      </c>
      <c r="E68" s="3231" t="str">
        <f>IF('Part III-Sources of Funds'!$I$38="","",-FV('Part III-Sources of Funds'!$K$38/12,12,E54/12,D68))</f>
        <v/>
      </c>
      <c r="F68" s="3231" t="str">
        <f>IF('Part III-Sources of Funds'!$I$38="","",-FV('Part III-Sources of Funds'!$K$38/12,12,F54/12,E68))</f>
        <v/>
      </c>
      <c r="G68" s="3231" t="str">
        <f>IF('Part III-Sources of Funds'!$I$38="","",-FV('Part III-Sources of Funds'!$K$38/12,12,G54/12,F68))</f>
        <v/>
      </c>
      <c r="H68" s="3231" t="str">
        <f>IF('Part III-Sources of Funds'!$I$38="","",-FV('Part III-Sources of Funds'!$K$38/12,12,H54/12,G68))</f>
        <v/>
      </c>
      <c r="I68" s="3231" t="str">
        <f>IF('Part III-Sources of Funds'!$I$38="","",-FV('Part III-Sources of Funds'!$K$38/12,12,I54/12,H68))</f>
        <v/>
      </c>
      <c r="J68" s="3231" t="str">
        <f>IF('Part III-Sources of Funds'!$I$38="","",-FV('Part III-Sources of Funds'!$K$38/12,12,J54/12,I68))</f>
        <v/>
      </c>
      <c r="K68" s="3231" t="str">
        <f>IF('Part III-Sources of Funds'!$I$38="","",-FV('Part III-Sources of Funds'!$K$38/12,12,K54/12,J68))</f>
        <v/>
      </c>
      <c r="N68" s="3222"/>
      <c r="O68" s="3223"/>
    </row>
    <row r="69" spans="1:15" ht="13.15" customHeight="1">
      <c r="A69" s="435" t="s">
        <v>2636</v>
      </c>
      <c r="B69" s="3231" t="str">
        <f>IF('Part III-Sources of Funds'!$I$39="","",-FV('Part III-Sources of Funds'!$K$39/12,12,B55/12,K39))</f>
        <v/>
      </c>
      <c r="C69" s="3231" t="str">
        <f>IF('Part III-Sources of Funds'!$I$39="","",-FV('Part III-Sources of Funds'!$K$39/12,12,C55/12,B69))</f>
        <v/>
      </c>
      <c r="D69" s="3231" t="str">
        <f>IF('Part III-Sources of Funds'!$I$39="","",-FV('Part III-Sources of Funds'!$K$39/12,12,D55/12,C69))</f>
        <v/>
      </c>
      <c r="E69" s="3231" t="str">
        <f>IF('Part III-Sources of Funds'!$I$39="","",-FV('Part III-Sources of Funds'!$K$39/12,12,E55/12,D69))</f>
        <v/>
      </c>
      <c r="F69" s="3231" t="str">
        <f>IF('Part III-Sources of Funds'!$I$39="","",-FV('Part III-Sources of Funds'!$K$39/12,12,F55/12,E69))</f>
        <v/>
      </c>
      <c r="G69" s="3231" t="str">
        <f>IF('Part III-Sources of Funds'!$I$39="","",-FV('Part III-Sources of Funds'!$K$39/12,12,G55/12,F69))</f>
        <v/>
      </c>
      <c r="H69" s="3231" t="str">
        <f>IF('Part III-Sources of Funds'!$I$39="","",-FV('Part III-Sources of Funds'!$K$39/12,12,H55/12,G69))</f>
        <v/>
      </c>
      <c r="I69" s="3231" t="str">
        <f>IF('Part III-Sources of Funds'!$I$39="","",-FV('Part III-Sources of Funds'!$K$39/12,12,I55/12,H69))</f>
        <v/>
      </c>
      <c r="J69" s="3231" t="str">
        <f>IF('Part III-Sources of Funds'!$I$39="","",-FV('Part III-Sources of Funds'!$K$39/12,12,J55/12,I69))</f>
        <v/>
      </c>
      <c r="K69" s="3231" t="str">
        <f>IF('Part III-Sources of Funds'!$I$39="","",-FV('Part III-Sources of Funds'!$K$39/12,12,K55/12,J69))</f>
        <v/>
      </c>
      <c r="N69" s="3222"/>
      <c r="O69" s="3223"/>
    </row>
    <row r="70" spans="1:15" ht="13.15" customHeight="1">
      <c r="A70" s="22" t="s">
        <v>792</v>
      </c>
      <c r="B70" s="3231" t="str">
        <f>IF('Part III-Sources of Funds'!$I$40="","",-FV('Part III-Sources of Funds'!$K$40/12,12,B56/12,K40))</f>
        <v/>
      </c>
      <c r="C70" s="3231" t="str">
        <f>IF('Part III-Sources of Funds'!$I$40="","",-FV('Part III-Sources of Funds'!$K$40/12,12,C56/12,B70))</f>
        <v/>
      </c>
      <c r="D70" s="3231" t="str">
        <f>IF('Part III-Sources of Funds'!$I$40="","",-FV('Part III-Sources of Funds'!$K$40/12,12,D56/12,C70))</f>
        <v/>
      </c>
      <c r="E70" s="3231" t="str">
        <f>IF('Part III-Sources of Funds'!$I$40="","",-FV('Part III-Sources of Funds'!$K$40/12,12,E56/12,D70))</f>
        <v/>
      </c>
      <c r="F70" s="3231" t="str">
        <f>IF('Part III-Sources of Funds'!$I$40="","",-FV('Part III-Sources of Funds'!$K$40/12,12,F56/12,E70))</f>
        <v/>
      </c>
      <c r="G70" s="3231" t="str">
        <f>IF('Part III-Sources of Funds'!$I$40="","",-FV('Part III-Sources of Funds'!$K$40/12,12,G56/12,F70))</f>
        <v/>
      </c>
      <c r="H70" s="3231" t="str">
        <f>IF('Part III-Sources of Funds'!$I$40="","",-FV('Part III-Sources of Funds'!$K$40/12,12,H56/12,G70))</f>
        <v/>
      </c>
      <c r="I70" s="3231" t="str">
        <f>IF('Part III-Sources of Funds'!$I$40="","",-FV('Part III-Sources of Funds'!$K$40/12,12,I56/12,H70))</f>
        <v/>
      </c>
      <c r="J70" s="3231" t="str">
        <f>IF('Part III-Sources of Funds'!$I$40="","",-FV('Part III-Sources of Funds'!$K$40/12,12,J56/12,I70))</f>
        <v/>
      </c>
      <c r="K70" s="3231" t="str">
        <f>IF('Part III-Sources of Funds'!$I$40="","",-FV('Part III-Sources of Funds'!$K$40/12,12,K56/12,J70))</f>
        <v/>
      </c>
      <c r="N70" s="3222"/>
      <c r="O70" s="3223"/>
    </row>
    <row r="71" spans="1:15" ht="13.15" customHeight="1">
      <c r="A71" s="435" t="s">
        <v>4127</v>
      </c>
      <c r="B71" s="3234">
        <f>IF('Part III-Sources of Funds'!$I$42="","",IF(-FV('Part III-Sources of Funds'!$K$42/12,12,B59/12,K41)&gt;0,-FV('Part III-Sources of Funds'!$K$42/12,12,B59/12,K41),0))</f>
        <v>0</v>
      </c>
      <c r="C71" s="3234">
        <f>IF('Part III-Sources of Funds'!$I$42="","",IF(-FV('Part III-Sources of Funds'!$K$42/12,12,C59/12,B71)&gt;0,-FV('Part III-Sources of Funds'!$K$42/12,12,C59/12,B71),0))</f>
        <v>0</v>
      </c>
      <c r="D71" s="3234">
        <f>IF('Part III-Sources of Funds'!$I$42="","",IF(-FV('Part III-Sources of Funds'!$K$42/12,12,D59/12,C71)&gt;0,-FV('Part III-Sources of Funds'!$K$42/12,12,D59/12,C71),0))</f>
        <v>0</v>
      </c>
      <c r="E71" s="3234">
        <f>IF('Part III-Sources of Funds'!$I$42="","",IF(-FV('Part III-Sources of Funds'!$K$42/12,12,E59/12,D71)&gt;0,-FV('Part III-Sources of Funds'!$K$42/12,12,E59/12,D71),0))</f>
        <v>0</v>
      </c>
      <c r="F71" s="3234">
        <f>IF('Part III-Sources of Funds'!$I$42="","",IF(-FV('Part III-Sources of Funds'!$K$42/12,12,F59/12,E71)&gt;0,-FV('Part III-Sources of Funds'!$K$42/12,12,F59/12,E71),0))</f>
        <v>0</v>
      </c>
      <c r="G71" s="3234">
        <f>IF('Part III-Sources of Funds'!$I$42="","",IF(-FV('Part III-Sources of Funds'!$K$42/12,12,G59/12,F71)&gt;0,-FV('Part III-Sources of Funds'!$K$42/12,12,G59/12,F71),0))</f>
        <v>0</v>
      </c>
      <c r="H71" s="3234" t="str">
        <f>IF('Part III-Sources of Funds'!$I$40="","",-FV('Part III-Sources of Funds'!$K$40/12,12,H57/12,G71))</f>
        <v/>
      </c>
      <c r="I71" s="3234" t="str">
        <f>IF('Part III-Sources of Funds'!$I$40="","",-FV('Part III-Sources of Funds'!$K$40/12,12,I57/12,H71))</f>
        <v/>
      </c>
      <c r="J71" s="3234" t="str">
        <f>IF('Part III-Sources of Funds'!$I$40="","",-FV('Part III-Sources of Funds'!$K$40/12,12,J57/12,I71))</f>
        <v/>
      </c>
      <c r="K71" s="3234" t="str">
        <f>IF('Part III-Sources of Funds'!$I$40="","",-FV('Part III-Sources of Funds'!$K$40/12,12,K57/12,J71))</f>
        <v/>
      </c>
      <c r="N71" s="3228"/>
      <c r="O71" s="3229"/>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866158.73711578269</v>
      </c>
      <c r="C74" s="20">
        <f t="shared" si="31"/>
        <v>883481.91185809823</v>
      </c>
      <c r="D74" s="20">
        <f t="shared" si="31"/>
        <v>901151.55009526026</v>
      </c>
      <c r="E74" s="20">
        <f t="shared" si="31"/>
        <v>919174.58109716536</v>
      </c>
      <c r="F74" s="20">
        <f t="shared" si="31"/>
        <v>937558.07271910866</v>
      </c>
      <c r="G74" s="20">
        <f t="shared" si="31"/>
        <v>956309.2341734909</v>
      </c>
      <c r="H74" s="20">
        <f t="shared" si="31"/>
        <v>975435.41885696072</v>
      </c>
      <c r="I74" s="20">
        <f t="shared" si="31"/>
        <v>994944.12723409978</v>
      </c>
      <c r="J74" s="20">
        <f t="shared" si="31"/>
        <v>1014843.009778782</v>
      </c>
      <c r="K74" s="21">
        <f t="shared" si="31"/>
        <v>1035139.8699743575</v>
      </c>
      <c r="N74" s="3220"/>
      <c r="O74" s="3221"/>
    </row>
    <row r="75" spans="1:15" ht="13.15" customHeight="1">
      <c r="A75" s="22" t="s">
        <v>1026</v>
      </c>
      <c r="B75" s="23">
        <f t="shared" ref="B75:K75" si="32">$B$15*(1+$B$5)^(B73-1)</f>
        <v>17323.174742315652</v>
      </c>
      <c r="C75" s="23">
        <f t="shared" si="32"/>
        <v>17669.638237161966</v>
      </c>
      <c r="D75" s="23">
        <f t="shared" si="32"/>
        <v>18023.031001905205</v>
      </c>
      <c r="E75" s="23">
        <f t="shared" si="32"/>
        <v>18383.491621943307</v>
      </c>
      <c r="F75" s="23">
        <f t="shared" si="32"/>
        <v>18751.161454382174</v>
      </c>
      <c r="G75" s="23">
        <f t="shared" si="32"/>
        <v>19126.184683469815</v>
      </c>
      <c r="H75" s="23">
        <f t="shared" si="32"/>
        <v>19508.708377139217</v>
      </c>
      <c r="I75" s="23">
        <f t="shared" si="32"/>
        <v>19898.882544681997</v>
      </c>
      <c r="J75" s="23">
        <f t="shared" si="32"/>
        <v>20296.860195575642</v>
      </c>
      <c r="K75" s="24">
        <f t="shared" si="32"/>
        <v>20702.79739948715</v>
      </c>
      <c r="N75" s="3222"/>
      <c r="O75" s="3223"/>
    </row>
    <row r="76" spans="1:15" ht="13.15" customHeight="1">
      <c r="A76" s="22" t="s">
        <v>2421</v>
      </c>
      <c r="B76" s="23">
        <f t="shared" ref="B76:K76" si="33">-(B74+B75)*$B$8</f>
        <v>-61843.733830066893</v>
      </c>
      <c r="C76" s="23">
        <f t="shared" si="33"/>
        <v>-63080.608506668214</v>
      </c>
      <c r="D76" s="23">
        <f t="shared" si="33"/>
        <v>-64342.220676801589</v>
      </c>
      <c r="E76" s="23">
        <f t="shared" si="33"/>
        <v>-65629.065090337608</v>
      </c>
      <c r="F76" s="23">
        <f t="shared" si="33"/>
        <v>-66941.646392144365</v>
      </c>
      <c r="G76" s="23">
        <f t="shared" si="33"/>
        <v>-68280.479319987251</v>
      </c>
      <c r="H76" s="23">
        <f t="shared" si="33"/>
        <v>-69646.088906386998</v>
      </c>
      <c r="I76" s="23">
        <f t="shared" si="33"/>
        <v>-71039.010684514738</v>
      </c>
      <c r="J76" s="23">
        <f t="shared" si="33"/>
        <v>-72459.790898205043</v>
      </c>
      <c r="K76" s="24">
        <f t="shared" si="33"/>
        <v>-73908.986716169136</v>
      </c>
      <c r="N76" s="3222"/>
      <c r="O76" s="3223"/>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2"/>
      <c r="O77" s="3223"/>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2"/>
      <c r="O78" s="3223"/>
    </row>
    <row r="79" spans="1:15" ht="13.15" customHeight="1">
      <c r="A79" s="22" t="s">
        <v>620</v>
      </c>
      <c r="B79" s="23">
        <f t="shared" ref="B79:K79" si="34">$B$19*(1+$B$6)^(B73-1)</f>
        <v>-548017.49526833207</v>
      </c>
      <c r="C79" s="23">
        <f t="shared" si="34"/>
        <v>-564458.02012638189</v>
      </c>
      <c r="D79" s="23">
        <f t="shared" si="34"/>
        <v>-581391.76073017344</v>
      </c>
      <c r="E79" s="23">
        <f t="shared" si="34"/>
        <v>-598833.51355207874</v>
      </c>
      <c r="F79" s="23">
        <f t="shared" si="34"/>
        <v>-616798.51895864098</v>
      </c>
      <c r="G79" s="23">
        <f t="shared" si="34"/>
        <v>-635302.47452740022</v>
      </c>
      <c r="H79" s="23">
        <f t="shared" si="34"/>
        <v>-654361.54876322229</v>
      </c>
      <c r="I79" s="23">
        <f t="shared" si="34"/>
        <v>-673992.39522611885</v>
      </c>
      <c r="J79" s="23">
        <f t="shared" si="34"/>
        <v>-694212.16708290239</v>
      </c>
      <c r="K79" s="24">
        <f t="shared" si="34"/>
        <v>-715038.53209538944</v>
      </c>
      <c r="N79" s="3222"/>
      <c r="O79" s="322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-49298</v>
      </c>
      <c r="C80" s="23">
        <f>IF(AND('Part VII-Pro Forma'!$G$8="Yes",'Part VII-Pro Forma'!$G$9="Yes"),"Choose One!",IF('Part VII-Pro Forma'!$G$8="Yes",ROUND((-$K$8*(1+'Part VII-Pro Forma'!$B$6)^('Part VII-Pro Forma'!C73-1)),),IF('Part VII-Pro Forma'!$G$9="Yes",ROUND((-(SUM(C74:C77)*'Part VII-Pro Forma'!$K$9)),),"Choose mgt fee")))</f>
        <v>-50284</v>
      </c>
      <c r="D80" s="23">
        <f>IF(AND('Part VII-Pro Forma'!$G$8="Yes",'Part VII-Pro Forma'!$G$9="Yes"),"Choose One!",IF('Part VII-Pro Forma'!$G$8="Yes",ROUND((-$K$8*(1+'Part VII-Pro Forma'!$B$6)^('Part VII-Pro Forma'!D73-1)),),IF('Part VII-Pro Forma'!$G$9="Yes",ROUND((-(SUM(D74:D77)*'Part VII-Pro Forma'!$K$9)),),"Choose mgt fee")))</f>
        <v>-51290</v>
      </c>
      <c r="E80" s="23">
        <f>IF(AND('Part VII-Pro Forma'!$G$8="Yes",'Part VII-Pro Forma'!$G$9="Yes"),"Choose One!",IF('Part VII-Pro Forma'!$G$8="Yes",ROUND((-$K$8*(1+'Part VII-Pro Forma'!$B$6)^('Part VII-Pro Forma'!E73-1)),),IF('Part VII-Pro Forma'!$G$9="Yes",ROUND((-(SUM(E74:E77)*'Part VII-Pro Forma'!$K$9)),),"Choose mgt fee")))</f>
        <v>-52316</v>
      </c>
      <c r="F80" s="23">
        <f>IF(AND('Part VII-Pro Forma'!$G$8="Yes",'Part VII-Pro Forma'!$G$9="Yes"),"Choose One!",IF('Part VII-Pro Forma'!$G$8="Yes",ROUND((-$K$8*(1+'Part VII-Pro Forma'!$B$6)^('Part VII-Pro Forma'!F73-1)),),IF('Part VII-Pro Forma'!$G$9="Yes",ROUND((-(SUM(F74:F77)*'Part VII-Pro Forma'!$K$9)),),"Choose mgt fee")))</f>
        <v>-53362</v>
      </c>
      <c r="G80" s="23">
        <f>IF(AND('Part VII-Pro Forma'!$G$8="Yes",'Part VII-Pro Forma'!$G$9="Yes"),"Choose One!",IF('Part VII-Pro Forma'!$G$8="Yes",ROUND((-$K$8*(1+'Part VII-Pro Forma'!$B$6)^('Part VII-Pro Forma'!G73-1)),),IF('Part VII-Pro Forma'!$G$9="Yes",ROUND((-(SUM(G74:G77)*'Part VII-Pro Forma'!$K$9)),),"Choose mgt fee")))</f>
        <v>-54429</v>
      </c>
      <c r="H80" s="23">
        <f>IF(AND('Part VII-Pro Forma'!$G$8="Yes",'Part VII-Pro Forma'!$G$9="Yes"),"Choose One!",IF('Part VII-Pro Forma'!$G$8="Yes",ROUND((-$K$8*(1+'Part VII-Pro Forma'!$B$6)^('Part VII-Pro Forma'!H73-1)),),IF('Part VII-Pro Forma'!$G$9="Yes",ROUND((-(SUM(H74:H77)*'Part VII-Pro Forma'!$K$9)),),"Choose mgt fee")))</f>
        <v>-55518</v>
      </c>
      <c r="I80" s="23">
        <f>IF(AND('Part VII-Pro Forma'!$G$8="Yes",'Part VII-Pro Forma'!$G$9="Yes"),"Choose One!",IF('Part VII-Pro Forma'!$G$8="Yes",ROUND((-$K$8*(1+'Part VII-Pro Forma'!$B$6)^('Part VII-Pro Forma'!I73-1)),),IF('Part VII-Pro Forma'!$G$9="Yes",ROUND((-(SUM(I74:I77)*'Part VII-Pro Forma'!$K$9)),),"Choose mgt fee")))</f>
        <v>-56628</v>
      </c>
      <c r="J80" s="23">
        <f>IF(AND('Part VII-Pro Forma'!$G$8="Yes",'Part VII-Pro Forma'!$G$9="Yes"),"Choose One!",IF('Part VII-Pro Forma'!$G$8="Yes",ROUND((-$K$8*(1+'Part VII-Pro Forma'!$B$6)^('Part VII-Pro Forma'!J73-1)),),IF('Part VII-Pro Forma'!$G$9="Yes",ROUND((-(SUM(J74:J77)*'Part VII-Pro Forma'!$K$9)),),"Choose mgt fee")))</f>
        <v>-57761</v>
      </c>
      <c r="K80" s="23">
        <f>IF(AND('Part VII-Pro Forma'!$G$8="Yes",'Part VII-Pro Forma'!$G$9="Yes"),"Choose One!",IF('Part VII-Pro Forma'!$G$8="Yes",ROUND((-$K$8*(1+'Part VII-Pro Forma'!$B$6)^('Part VII-Pro Forma'!K73-1)),),IF('Part VII-Pro Forma'!$G$9="Yes",ROUND((-(SUM(K74:K77)*'Part VII-Pro Forma'!$K$9)),),"Choose mgt fee")))</f>
        <v>-58916</v>
      </c>
      <c r="N80" s="3222"/>
      <c r="O80" s="3223"/>
    </row>
    <row r="81" spans="1:15" ht="13.15" customHeight="1">
      <c r="A81" s="22" t="s">
        <v>1214</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N81" s="3222"/>
      <c r="O81" s="3223"/>
    </row>
    <row r="82" spans="1:15" ht="13.15" customHeight="1">
      <c r="A82" s="22" t="s">
        <v>1215</v>
      </c>
      <c r="B82" s="23">
        <f t="shared" ref="B82:K82" si="36">SUM(B74:B81)</f>
        <v>191812.68053564997</v>
      </c>
      <c r="C82" s="23">
        <f t="shared" si="36"/>
        <v>189843.61917143909</v>
      </c>
      <c r="D82" s="23">
        <f t="shared" si="36"/>
        <v>187660.73833069636</v>
      </c>
      <c r="E82" s="23">
        <f t="shared" si="36"/>
        <v>185254.93687641341</v>
      </c>
      <c r="F82" s="23">
        <f t="shared" si="36"/>
        <v>182616.77490641817</v>
      </c>
      <c r="G82" s="23">
        <f t="shared" si="36"/>
        <v>179735.46227579741</v>
      </c>
      <c r="H82" s="23">
        <f t="shared" si="36"/>
        <v>176599.8467487015</v>
      </c>
      <c r="I82" s="23">
        <f t="shared" si="36"/>
        <v>173200.40176788537</v>
      </c>
      <c r="J82" s="23">
        <f t="shared" si="36"/>
        <v>169524.21382997956</v>
      </c>
      <c r="K82" s="24">
        <f t="shared" si="36"/>
        <v>165560.96945411724</v>
      </c>
      <c r="N82" s="3222"/>
      <c r="O82" s="3223"/>
    </row>
    <row r="83" spans="1:15" ht="13.15" customHeight="1">
      <c r="A83" s="22" t="str">
        <f>$A53</f>
        <v>Mortgage A</v>
      </c>
      <c r="B83" s="3230">
        <f>IF('Part III-Sources of Funds'!$N$37="", 0,-'Part III-Sources of Funds'!$N$37)</f>
        <v>-154731.08439713262</v>
      </c>
      <c r="C83" s="3230">
        <f>IF('Part III-Sources of Funds'!$N$37="", 0,-'Part III-Sources of Funds'!$N$37)</f>
        <v>-154731.08439713262</v>
      </c>
      <c r="D83" s="3230">
        <f>IF('Part III-Sources of Funds'!$N$37="", 0,-'Part III-Sources of Funds'!$N$37)</f>
        <v>-154731.08439713262</v>
      </c>
      <c r="E83" s="3230">
        <f>IF('Part III-Sources of Funds'!$N$37="", 0,-'Part III-Sources of Funds'!$N$37)</f>
        <v>-154731.08439713262</v>
      </c>
      <c r="F83" s="3230">
        <f>IF('Part III-Sources of Funds'!$N$37="", 0,-'Part III-Sources of Funds'!$N$37)</f>
        <v>-154731.08439713262</v>
      </c>
      <c r="G83" s="3230">
        <f>IF('Part III-Sources of Funds'!$N$37="", 0,-'Part III-Sources of Funds'!$N$37)</f>
        <v>-154731.08439713262</v>
      </c>
      <c r="H83" s="3230">
        <f>IF('Part III-Sources of Funds'!$N$37="", 0,-'Part III-Sources of Funds'!$N$37)</f>
        <v>-154731.08439713262</v>
      </c>
      <c r="I83" s="3230">
        <f>IF('Part III-Sources of Funds'!$N$37="", 0,-'Part III-Sources of Funds'!$N$37)</f>
        <v>-154731.08439713262</v>
      </c>
      <c r="J83" s="3230">
        <f>IF('Part III-Sources of Funds'!$N$37="", 0,-'Part III-Sources of Funds'!$N$37)</f>
        <v>-154731.08439713262</v>
      </c>
      <c r="K83" s="3230">
        <f>IF('Part III-Sources of Funds'!$N$37="", 0,-'Part III-Sources of Funds'!$N$37)</f>
        <v>-154731.08439713262</v>
      </c>
      <c r="N83" s="3222"/>
      <c r="O83" s="3223"/>
    </row>
    <row r="84" spans="1:15" ht="13.15" customHeight="1">
      <c r="A84" s="22" t="str">
        <f>$A54</f>
        <v>Mortgage B</v>
      </c>
      <c r="B84" s="3231">
        <f>IF('Part III-Sources of Funds'!$N$38="", 0,-'Part III-Sources of Funds'!$N$38)</f>
        <v>0</v>
      </c>
      <c r="C84" s="3231">
        <f>IF('Part III-Sources of Funds'!$N$38="", 0,-'Part III-Sources of Funds'!$N$38)</f>
        <v>0</v>
      </c>
      <c r="D84" s="3231">
        <f>IF('Part III-Sources of Funds'!$N$38="", 0,-'Part III-Sources of Funds'!$N$38)</f>
        <v>0</v>
      </c>
      <c r="E84" s="3231">
        <f>IF('Part III-Sources of Funds'!$N$38="", 0,-'Part III-Sources of Funds'!$N$38)</f>
        <v>0</v>
      </c>
      <c r="F84" s="3231">
        <f>IF('Part III-Sources of Funds'!$N$38="", 0,-'Part III-Sources of Funds'!$N$38)</f>
        <v>0</v>
      </c>
      <c r="G84" s="3231">
        <f>IF('Part III-Sources of Funds'!$N$38="", 0,-'Part III-Sources of Funds'!$N$38)</f>
        <v>0</v>
      </c>
      <c r="H84" s="3231">
        <f>IF('Part III-Sources of Funds'!$N$38="", 0,-'Part III-Sources of Funds'!$N$38)</f>
        <v>0</v>
      </c>
      <c r="I84" s="3231">
        <f>IF('Part III-Sources of Funds'!$N$38="", 0,-'Part III-Sources of Funds'!$N$38)</f>
        <v>0</v>
      </c>
      <c r="J84" s="3231">
        <f>IF('Part III-Sources of Funds'!$N$38="", 0,-'Part III-Sources of Funds'!$N$38)</f>
        <v>0</v>
      </c>
      <c r="K84" s="3231">
        <f>IF('Part III-Sources of Funds'!$N$38="", 0,-'Part III-Sources of Funds'!$N$38)</f>
        <v>0</v>
      </c>
      <c r="N84" s="3222"/>
      <c r="O84" s="3223"/>
    </row>
    <row r="85" spans="1:15" ht="13.15" customHeight="1">
      <c r="A85" s="22" t="str">
        <f>$A55</f>
        <v>Mortgage C</v>
      </c>
      <c r="B85" s="3231">
        <f>IF('Part III-Sources of Funds'!$N$39="", 0,-'Part III-Sources of Funds'!$N$39)</f>
        <v>0</v>
      </c>
      <c r="C85" s="3231">
        <f>IF('Part III-Sources of Funds'!$N$39="", 0,-'Part III-Sources of Funds'!$N$39)</f>
        <v>0</v>
      </c>
      <c r="D85" s="3231">
        <f>IF('Part III-Sources of Funds'!$N$39="", 0,-'Part III-Sources of Funds'!$N$39)</f>
        <v>0</v>
      </c>
      <c r="E85" s="3231">
        <f>IF('Part III-Sources of Funds'!$N$39="", 0,-'Part III-Sources of Funds'!$N$39)</f>
        <v>0</v>
      </c>
      <c r="F85" s="3231">
        <f>IF('Part III-Sources of Funds'!$N$39="", 0,-'Part III-Sources of Funds'!$N$39)</f>
        <v>0</v>
      </c>
      <c r="G85" s="3231">
        <f>IF('Part III-Sources of Funds'!$N$39="", 0,-'Part III-Sources of Funds'!$N$39)</f>
        <v>0</v>
      </c>
      <c r="H85" s="3231">
        <f>IF('Part III-Sources of Funds'!$N$39="", 0,-'Part III-Sources of Funds'!$N$39)</f>
        <v>0</v>
      </c>
      <c r="I85" s="3231">
        <f>IF('Part III-Sources of Funds'!$N$39="", 0,-'Part III-Sources of Funds'!$N$39)</f>
        <v>0</v>
      </c>
      <c r="J85" s="3231">
        <f>IF('Part III-Sources of Funds'!$N$39="", 0,-'Part III-Sources of Funds'!$N$39)</f>
        <v>0</v>
      </c>
      <c r="K85" s="3231">
        <f>IF('Part III-Sources of Funds'!$N$39="", 0,-'Part III-Sources of Funds'!$N$39)</f>
        <v>0</v>
      </c>
      <c r="N85" s="3222"/>
      <c r="O85" s="3223"/>
    </row>
    <row r="86" spans="1:15" ht="13.15" customHeight="1">
      <c r="A86" s="22" t="str">
        <f>$A56</f>
        <v>D/S Other Source,not DDF</v>
      </c>
      <c r="B86" s="3231">
        <f>IF('Part III-Sources of Funds'!$N$40="", 0,-'Part III-Sources of Funds'!$N$40)</f>
        <v>0</v>
      </c>
      <c r="C86" s="3231">
        <f>IF('Part III-Sources of Funds'!$N$40="", 0,-'Part III-Sources of Funds'!$N$40)</f>
        <v>0</v>
      </c>
      <c r="D86" s="3231">
        <f>IF('Part III-Sources of Funds'!$N$40="", 0,-'Part III-Sources of Funds'!$N$40)</f>
        <v>0</v>
      </c>
      <c r="E86" s="3231">
        <f>IF('Part III-Sources of Funds'!$N$40="", 0,-'Part III-Sources of Funds'!$N$40)</f>
        <v>0</v>
      </c>
      <c r="F86" s="3231">
        <f>IF('Part III-Sources of Funds'!$N$40="", 0,-'Part III-Sources of Funds'!$N$40)</f>
        <v>0</v>
      </c>
      <c r="G86" s="3231">
        <f>IF('Part III-Sources of Funds'!$N$40="", 0,-'Part III-Sources of Funds'!$N$40)</f>
        <v>0</v>
      </c>
      <c r="H86" s="3231">
        <f>IF('Part III-Sources of Funds'!$N$40="", 0,-'Part III-Sources of Funds'!$N$40)</f>
        <v>0</v>
      </c>
      <c r="I86" s="3231">
        <f>IF('Part III-Sources of Funds'!$N$40="", 0,-'Part III-Sources of Funds'!$N$40)</f>
        <v>0</v>
      </c>
      <c r="J86" s="3231">
        <f>IF('Part III-Sources of Funds'!$N$40="", 0,-'Part III-Sources of Funds'!$N$40)</f>
        <v>0</v>
      </c>
      <c r="K86" s="3231">
        <f>IF('Part III-Sources of Funds'!$N$40="", 0,-'Part III-Sources of Funds'!$N$40)</f>
        <v>0</v>
      </c>
      <c r="N86" s="3222"/>
      <c r="O86" s="3223"/>
    </row>
    <row r="87" spans="1:15" ht="13.15" customHeight="1">
      <c r="A87" s="22" t="s">
        <v>771</v>
      </c>
      <c r="B87" s="3232"/>
      <c r="C87" s="3232"/>
      <c r="D87" s="3232"/>
      <c r="E87" s="3232"/>
      <c r="F87" s="3232"/>
      <c r="G87" s="3232"/>
      <c r="H87" s="3232"/>
      <c r="I87" s="3232"/>
      <c r="J87" s="3232"/>
      <c r="K87" s="3232"/>
      <c r="N87" s="3222"/>
      <c r="O87" s="3223"/>
    </row>
    <row r="88" spans="1:15" ht="13.15" customHeight="1">
      <c r="A88" s="435" t="s">
        <v>1174</v>
      </c>
      <c r="B88" s="3234">
        <f>+K58</f>
        <v>-5000</v>
      </c>
      <c r="C88" s="3234">
        <f t="shared" ref="C88:K88" si="37">+B88</f>
        <v>-5000</v>
      </c>
      <c r="D88" s="3234">
        <f t="shared" si="37"/>
        <v>-5000</v>
      </c>
      <c r="E88" s="3234">
        <f t="shared" si="37"/>
        <v>-5000</v>
      </c>
      <c r="F88" s="3234">
        <f t="shared" si="37"/>
        <v>-5000</v>
      </c>
      <c r="G88" s="3234">
        <f t="shared" si="37"/>
        <v>-5000</v>
      </c>
      <c r="H88" s="3234">
        <f t="shared" si="37"/>
        <v>-5000</v>
      </c>
      <c r="I88" s="3234">
        <f t="shared" si="37"/>
        <v>-5000</v>
      </c>
      <c r="J88" s="3234">
        <f t="shared" si="37"/>
        <v>-5000</v>
      </c>
      <c r="K88" s="3234">
        <f t="shared" si="37"/>
        <v>-5000</v>
      </c>
      <c r="N88" s="3222"/>
      <c r="O88" s="3223"/>
    </row>
    <row r="89" spans="1:15" ht="13.15" customHeight="1">
      <c r="A89" s="22" t="s">
        <v>1175</v>
      </c>
      <c r="B89" s="23">
        <f t="shared" ref="B89:K89" si="38">SUM(B82:B88)</f>
        <v>32081.596138517343</v>
      </c>
      <c r="C89" s="23">
        <f t="shared" si="38"/>
        <v>30112.534774306463</v>
      </c>
      <c r="D89" s="23">
        <f t="shared" si="38"/>
        <v>27929.653933563735</v>
      </c>
      <c r="E89" s="23">
        <f t="shared" si="38"/>
        <v>25523.852479280788</v>
      </c>
      <c r="F89" s="23">
        <f t="shared" si="38"/>
        <v>22885.690509285545</v>
      </c>
      <c r="G89" s="23">
        <f t="shared" si="38"/>
        <v>20004.377878664789</v>
      </c>
      <c r="H89" s="23">
        <f t="shared" si="38"/>
        <v>16868.762351568876</v>
      </c>
      <c r="I89" s="23">
        <f t="shared" si="38"/>
        <v>13469.317370752746</v>
      </c>
      <c r="J89" s="23">
        <f t="shared" si="38"/>
        <v>9793.1294328469376</v>
      </c>
      <c r="K89" s="24">
        <f t="shared" si="38"/>
        <v>5829.8850569846109</v>
      </c>
      <c r="N89" s="3222"/>
      <c r="O89" s="3223"/>
    </row>
    <row r="90" spans="1:15" ht="13.15" customHeight="1">
      <c r="A90" s="22" t="str">
        <f>$A61</f>
        <v>DCR Mortgage A</v>
      </c>
      <c r="B90" s="25">
        <f>IF(B83=0,"",-B82/B83)</f>
        <v>1.2396518856117091</v>
      </c>
      <c r="C90" s="25">
        <f t="shared" ref="C90:K90" si="39">IF(C83=0,"",-C82/C83)</f>
        <v>1.2269261855891003</v>
      </c>
      <c r="D90" s="25">
        <f t="shared" si="39"/>
        <v>1.2128186075982414</v>
      </c>
      <c r="E90" s="25">
        <f t="shared" si="39"/>
        <v>1.1972703325786711</v>
      </c>
      <c r="F90" s="25">
        <f t="shared" si="39"/>
        <v>1.1802203520897854</v>
      </c>
      <c r="G90" s="25">
        <f t="shared" si="39"/>
        <v>1.1615989313077428</v>
      </c>
      <c r="H90" s="25">
        <f t="shared" si="39"/>
        <v>1.1413339952781598</v>
      </c>
      <c r="I90" s="25">
        <f t="shared" si="39"/>
        <v>1.1193639755238154</v>
      </c>
      <c r="J90" s="25">
        <f t="shared" si="39"/>
        <v>1.0956054143256626</v>
      </c>
      <c r="K90" s="26">
        <f t="shared" si="39"/>
        <v>1.0699916574564206</v>
      </c>
      <c r="N90" s="3222"/>
      <c r="O90" s="3223"/>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2"/>
      <c r="O91" s="3223"/>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2"/>
      <c r="O92" s="3223"/>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22"/>
      <c r="O93" s="3223"/>
    </row>
    <row r="94" spans="1:15" ht="13.15" customHeight="1">
      <c r="A94" s="435" t="s">
        <v>3739</v>
      </c>
      <c r="B94" s="25">
        <f>IF(AND(B83=0,B84=0,B85=0,B86=0),"",-B82/(B83+B84+B85+B86))</f>
        <v>1.2396518856117091</v>
      </c>
      <c r="C94" s="25">
        <f t="shared" ref="C94:K94" si="43">IF(AND(C83=0,C84=0,C85=0,C86=0),"",-C82/(C83+C84+C85+C86))</f>
        <v>1.2269261855891003</v>
      </c>
      <c r="D94" s="25">
        <f t="shared" si="43"/>
        <v>1.2128186075982414</v>
      </c>
      <c r="E94" s="25">
        <f t="shared" si="43"/>
        <v>1.1972703325786711</v>
      </c>
      <c r="F94" s="25">
        <f t="shared" si="43"/>
        <v>1.1802203520897854</v>
      </c>
      <c r="G94" s="25">
        <f t="shared" si="43"/>
        <v>1.1615989313077428</v>
      </c>
      <c r="H94" s="25">
        <f t="shared" si="43"/>
        <v>1.1413339952781598</v>
      </c>
      <c r="I94" s="25">
        <f t="shared" si="43"/>
        <v>1.1193639755238154</v>
      </c>
      <c r="J94" s="25">
        <f t="shared" si="43"/>
        <v>1.0956054143256626</v>
      </c>
      <c r="K94" s="26">
        <f t="shared" si="43"/>
        <v>1.0699916574564206</v>
      </c>
      <c r="N94" s="3222"/>
      <c r="O94" s="3223"/>
    </row>
    <row r="95" spans="1:15" ht="13.15" customHeight="1">
      <c r="A95" s="22" t="s">
        <v>778</v>
      </c>
      <c r="B95" s="274">
        <f>IF(OR(B80="Choose mgt fee",B80="Choose One!"),"",(B74+B75+B76+B77+B78) / -(B79+B80+B81))</f>
        <v>1.3045489287101626</v>
      </c>
      <c r="C95" s="274">
        <f t="shared" ref="C95:K95" si="44">IF(OR(C80="Choose mgt fee",C80="Choose One!"),"",(C74+C75+C76+C77+C78) / -(C79+C80+C81))</f>
        <v>1.2928658089627227</v>
      </c>
      <c r="D95" s="274">
        <f t="shared" si="44"/>
        <v>1.2812780581747749</v>
      </c>
      <c r="E95" s="274">
        <f t="shared" si="44"/>
        <v>1.2697858340179322</v>
      </c>
      <c r="F95" s="274">
        <f t="shared" si="44"/>
        <v>1.2583891968423322</v>
      </c>
      <c r="G95" s="274">
        <f t="shared" si="44"/>
        <v>1.2470864032298441</v>
      </c>
      <c r="H95" s="274">
        <f t="shared" si="44"/>
        <v>1.235875882611992</v>
      </c>
      <c r="I95" s="274">
        <f t="shared" si="44"/>
        <v>1.2247593994743942</v>
      </c>
      <c r="J95" s="274">
        <f t="shared" si="44"/>
        <v>1.2137337959133216</v>
      </c>
      <c r="K95" s="275">
        <f t="shared" si="44"/>
        <v>1.2028007148965512</v>
      </c>
      <c r="N95" s="3222"/>
      <c r="O95" s="3223"/>
    </row>
    <row r="96" spans="1:15" ht="13.15" customHeight="1">
      <c r="A96" s="435" t="s">
        <v>2634</v>
      </c>
      <c r="B96" s="3235">
        <f>IF('Part III-Sources of Funds'!$I$37="","",-FV('Part III-Sources of Funds'!$K$37/12,12,B83/12,K67))</f>
        <v>1821515.4631937791</v>
      </c>
      <c r="C96" s="3235">
        <f>IF('Part III-Sources of Funds'!$I$37="","",-FV('Part III-Sources of Funds'!$K$37/12,12,C83/12,B96))</f>
        <v>1765571.4457503268</v>
      </c>
      <c r="D96" s="3235">
        <f>IF('Part III-Sources of Funds'!$I$37="","",-FV('Part III-Sources of Funds'!$K$37/12,12,D83/12,C96))</f>
        <v>1706471.7459815182</v>
      </c>
      <c r="E96" s="3235">
        <f>IF('Part III-Sources of Funds'!$I$37="","",-FV('Part III-Sources of Funds'!$K$37/12,12,E83/12,D96))</f>
        <v>1644038.3585993235</v>
      </c>
      <c r="F96" s="3235">
        <f>IF('Part III-Sources of Funds'!$I$37="","",-FV('Part III-Sources of Funds'!$K$37/12,12,F83/12,E96))</f>
        <v>1578083.2374182781</v>
      </c>
      <c r="G96" s="3235">
        <f>IF('Part III-Sources of Funds'!$I$37="","",-FV('Part III-Sources of Funds'!$K$37/12,12,G83/12,F96))</f>
        <v>1508407.7289699411</v>
      </c>
      <c r="H96" s="3235">
        <f>IF('Part III-Sources of Funds'!$I$37="","",-FV('Part III-Sources of Funds'!$K$37/12,12,H83/12,G96))</f>
        <v>1434801.9741687593</v>
      </c>
      <c r="I96" s="3235">
        <f>IF('Part III-Sources of Funds'!$I$37="","",-FV('Part III-Sources of Funds'!$K$37/12,12,I83/12,H96))</f>
        <v>1357044.2762271804</v>
      </c>
      <c r="J96" s="3235">
        <f>IF('Part III-Sources of Funds'!$I$37="","",-FV('Part III-Sources of Funds'!$K$37/12,12,J83/12,I96))</f>
        <v>1274900.4329162121</v>
      </c>
      <c r="K96" s="3235">
        <f>IF('Part III-Sources of Funds'!$I$37="","",-FV('Part III-Sources of Funds'!$K$37/12,12,K83/12,J96))</f>
        <v>1188123.0311602275</v>
      </c>
      <c r="N96" s="3222"/>
      <c r="O96" s="3223"/>
    </row>
    <row r="97" spans="1:15" ht="13.15" customHeight="1">
      <c r="A97" s="435" t="s">
        <v>2635</v>
      </c>
      <c r="B97" s="3231" t="str">
        <f>IF('Part III-Sources of Funds'!$I$38="","",-FV('Part III-Sources of Funds'!$K$38/12,12,B84/12,K68))</f>
        <v/>
      </c>
      <c r="C97" s="3231" t="str">
        <f>IF('Part III-Sources of Funds'!$I$38="","",-FV('Part III-Sources of Funds'!$K$38/12,12,C84/12,B97))</f>
        <v/>
      </c>
      <c r="D97" s="3231" t="str">
        <f>IF('Part III-Sources of Funds'!$I$38="","",-FV('Part III-Sources of Funds'!$K$38/12,12,D84/12,C97))</f>
        <v/>
      </c>
      <c r="E97" s="3231" t="str">
        <f>IF('Part III-Sources of Funds'!$I$38="","",-FV('Part III-Sources of Funds'!$K$38/12,12,E84/12,D97))</f>
        <v/>
      </c>
      <c r="F97" s="3231" t="str">
        <f>IF('Part III-Sources of Funds'!$I$38="","",-FV('Part III-Sources of Funds'!$K$38/12,12,F84/12,E97))</f>
        <v/>
      </c>
      <c r="G97" s="3231" t="str">
        <f>IF('Part III-Sources of Funds'!$I$38="","",-FV('Part III-Sources of Funds'!$K$38/12,12,G84/12,F97))</f>
        <v/>
      </c>
      <c r="H97" s="3231" t="str">
        <f>IF('Part III-Sources of Funds'!$I$38="","",-FV('Part III-Sources of Funds'!$K$38/12,12,H84/12,G97))</f>
        <v/>
      </c>
      <c r="I97" s="3231" t="str">
        <f>IF('Part III-Sources of Funds'!$I$38="","",-FV('Part III-Sources of Funds'!$K$38/12,12,I84/12,H97))</f>
        <v/>
      </c>
      <c r="J97" s="3231" t="str">
        <f>IF('Part III-Sources of Funds'!$I$38="","",-FV('Part III-Sources of Funds'!$K$38/12,12,J84/12,I97))</f>
        <v/>
      </c>
      <c r="K97" s="3231" t="str">
        <f>IF('Part III-Sources of Funds'!$I$38="","",-FV('Part III-Sources of Funds'!$K$38/12,12,K84/12,J97))</f>
        <v/>
      </c>
      <c r="N97" s="3222"/>
      <c r="O97" s="3223"/>
    </row>
    <row r="98" spans="1:15" ht="13.15" customHeight="1">
      <c r="A98" s="435" t="s">
        <v>2636</v>
      </c>
      <c r="B98" s="3231" t="str">
        <f>IF('Part III-Sources of Funds'!$I$39="","",-FV('Part III-Sources of Funds'!$K$39/12,12,B85/12,K69))</f>
        <v/>
      </c>
      <c r="C98" s="3231" t="str">
        <f>IF('Part III-Sources of Funds'!$I$39="","",-FV('Part III-Sources of Funds'!$K$39/12,12,C85/12,B98))</f>
        <v/>
      </c>
      <c r="D98" s="3231" t="str">
        <f>IF('Part III-Sources of Funds'!$I$39="","",-FV('Part III-Sources of Funds'!$K$39/12,12,D85/12,C98))</f>
        <v/>
      </c>
      <c r="E98" s="3231" t="str">
        <f>IF('Part III-Sources of Funds'!$I$39="","",-FV('Part III-Sources of Funds'!$K$39/12,12,E85/12,D98))</f>
        <v/>
      </c>
      <c r="F98" s="3231" t="str">
        <f>IF('Part III-Sources of Funds'!$I$39="","",-FV('Part III-Sources of Funds'!$K$39/12,12,F85/12,E98))</f>
        <v/>
      </c>
      <c r="G98" s="3231" t="str">
        <f>IF('Part III-Sources of Funds'!$I$39="","",-FV('Part III-Sources of Funds'!$K$39/12,12,G85/12,F98))</f>
        <v/>
      </c>
      <c r="H98" s="3231" t="str">
        <f>IF('Part III-Sources of Funds'!$I$39="","",-FV('Part III-Sources of Funds'!$K$39/12,12,H85/12,G98))</f>
        <v/>
      </c>
      <c r="I98" s="3231" t="str">
        <f>IF('Part III-Sources of Funds'!$I$39="","",-FV('Part III-Sources of Funds'!$K$39/12,12,I85/12,H98))</f>
        <v/>
      </c>
      <c r="J98" s="3231" t="str">
        <f>IF('Part III-Sources of Funds'!$I$39="","",-FV('Part III-Sources of Funds'!$K$39/12,12,J85/12,I98))</f>
        <v/>
      </c>
      <c r="K98" s="3231" t="str">
        <f>IF('Part III-Sources of Funds'!$I$39="","",-FV('Part III-Sources of Funds'!$K$39/12,12,K85/12,J98))</f>
        <v/>
      </c>
      <c r="N98" s="3222"/>
      <c r="O98" s="3223"/>
    </row>
    <row r="99" spans="1:15" ht="13.15" customHeight="1">
      <c r="A99" s="22" t="s">
        <v>792</v>
      </c>
      <c r="B99" s="3234" t="str">
        <f>IF('Part III-Sources of Funds'!$I$40="","",-FV('Part III-Sources of Funds'!$K$40/12,12,B86/12,K70))</f>
        <v/>
      </c>
      <c r="C99" s="3234" t="str">
        <f>IF('Part III-Sources of Funds'!$I$40="","",-FV('Part III-Sources of Funds'!$K$40/12,12,C86/12,B99))</f>
        <v/>
      </c>
      <c r="D99" s="3234" t="str">
        <f>IF('Part III-Sources of Funds'!$I$40="","",-FV('Part III-Sources of Funds'!$K$40/12,12,D86/12,C99))</f>
        <v/>
      </c>
      <c r="E99" s="3234" t="str">
        <f>IF('Part III-Sources of Funds'!$I$40="","",-FV('Part III-Sources of Funds'!$K$40/12,12,E86/12,D99))</f>
        <v/>
      </c>
      <c r="F99" s="3234" t="str">
        <f>IF('Part III-Sources of Funds'!$I$40="","",-FV('Part III-Sources of Funds'!$K$40/12,12,F86/12,E99))</f>
        <v/>
      </c>
      <c r="G99" s="3234" t="str">
        <f>IF('Part III-Sources of Funds'!$I$40="","",-FV('Part III-Sources of Funds'!$K$40/12,12,G86/12,F99))</f>
        <v/>
      </c>
      <c r="H99" s="3234" t="str">
        <f>IF('Part III-Sources of Funds'!$I$40="","",-FV('Part III-Sources of Funds'!$K$40/12,12,H86/12,G99))</f>
        <v/>
      </c>
      <c r="I99" s="3234" t="str">
        <f>IF('Part III-Sources of Funds'!$I$40="","",-FV('Part III-Sources of Funds'!$K$40/12,12,I86/12,H99))</f>
        <v/>
      </c>
      <c r="J99" s="3234" t="str">
        <f>IF('Part III-Sources of Funds'!$I$40="","",-FV('Part III-Sources of Funds'!$K$40/12,12,J86/12,I99))</f>
        <v/>
      </c>
      <c r="K99" s="3234" t="str">
        <f>IF('Part III-Sources of Funds'!$I$40="","",-FV('Part III-Sources of Funds'!$K$40/12,12,K86/12,J99))</f>
        <v/>
      </c>
      <c r="N99" s="3228"/>
      <c r="O99" s="3229"/>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1055842.6673738447</v>
      </c>
      <c r="C102" s="20">
        <f>$B$14*(1+$B$5)^(C101-1)</f>
        <v>1076959.5207213215</v>
      </c>
      <c r="D102" s="20">
        <f>$B$14*(1+$B$5)^(D101-1)</f>
        <v>1098498.7111357481</v>
      </c>
      <c r="E102" s="20">
        <f>$B$14*(1+$B$5)^(E101-1)</f>
        <v>1120468.6853584631</v>
      </c>
      <c r="F102" s="670">
        <f>$B$14*(1+$B$5)^(F101-1)</f>
        <v>1142878.0590656323</v>
      </c>
      <c r="G102" s="18"/>
      <c r="H102" s="18"/>
      <c r="I102" s="18"/>
      <c r="J102" s="18"/>
      <c r="K102" s="18"/>
      <c r="N102" s="3220"/>
      <c r="O102" s="3221"/>
    </row>
    <row r="103" spans="1:15" ht="13.15" customHeight="1">
      <c r="A103" s="22" t="s">
        <v>1026</v>
      </c>
      <c r="B103" s="23">
        <f>$B$15*(1+$B$5)^(B101-1)</f>
        <v>21116.853347476896</v>
      </c>
      <c r="C103" s="23">
        <f>$B$15*(1+$B$5)^(C101-1)</f>
        <v>21539.190414426426</v>
      </c>
      <c r="D103" s="23">
        <f>$B$15*(1+$B$5)^(D101-1)</f>
        <v>21969.974222714962</v>
      </c>
      <c r="E103" s="23">
        <f>$B$15*(1+$B$5)^(E101-1)</f>
        <v>22409.373707169263</v>
      </c>
      <c r="F103" s="24">
        <f>$B$15*(1+$B$5)^(F101-1)</f>
        <v>22857.561181312645</v>
      </c>
      <c r="G103" s="18"/>
      <c r="H103" s="18"/>
      <c r="I103" s="18"/>
      <c r="J103" s="18"/>
      <c r="K103" s="18"/>
      <c r="N103" s="3222"/>
      <c r="O103" s="3223"/>
    </row>
    <row r="104" spans="1:15" ht="13.15" customHeight="1">
      <c r="A104" s="22" t="s">
        <v>2421</v>
      </c>
      <c r="B104" s="23">
        <f>-(B102+B103)*$B$8</f>
        <v>-75387.166450492514</v>
      </c>
      <c r="C104" s="23">
        <f>-(C102+C103)*$B$8</f>
        <v>-76894.909779502355</v>
      </c>
      <c r="D104" s="23">
        <f>-(D102+D103)*$B$8</f>
        <v>-78432.807975092423</v>
      </c>
      <c r="E104" s="23">
        <f>-(E102+E103)*$B$8</f>
        <v>-80001.464134594265</v>
      </c>
      <c r="F104" s="24">
        <f>-(F102+F103)*$B$8</f>
        <v>-81601.493417286154</v>
      </c>
      <c r="G104" s="18"/>
      <c r="H104" s="18"/>
      <c r="I104" s="18"/>
      <c r="J104" s="18"/>
      <c r="K104" s="18"/>
      <c r="N104" s="3222"/>
      <c r="O104" s="3223"/>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2"/>
      <c r="O105" s="3223"/>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2"/>
      <c r="O106" s="3223"/>
    </row>
    <row r="107" spans="1:15" ht="13.15" customHeight="1">
      <c r="A107" s="22" t="s">
        <v>620</v>
      </c>
      <c r="B107" s="23">
        <f>$B$19*(1+$B$6)^(B101-1)</f>
        <v>-736489.68805825117</v>
      </c>
      <c r="C107" s="23">
        <f>$B$19*(1+$B$6)^(C101-1)</f>
        <v>-758584.37869999884</v>
      </c>
      <c r="D107" s="23">
        <f>$B$19*(1+$B$6)^(D101-1)</f>
        <v>-781341.91006099863</v>
      </c>
      <c r="E107" s="23">
        <f>$B$19*(1+$B$6)^(E101-1)</f>
        <v>-804782.16736282862</v>
      </c>
      <c r="F107" s="24">
        <f>$B$19*(1+$B$6)^(F101-1)</f>
        <v>-828925.63238371327</v>
      </c>
      <c r="G107" s="18"/>
      <c r="H107" s="18"/>
      <c r="I107" s="18"/>
      <c r="J107" s="18"/>
      <c r="K107" s="18"/>
      <c r="N107" s="3222"/>
      <c r="O107" s="322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-60094</v>
      </c>
      <c r="C108" s="23">
        <f>IF(AND('Part VII-Pro Forma'!$G$8="Yes",'Part VII-Pro Forma'!$G$9="Yes"),"Choose One!",IF('Part VII-Pro Forma'!$G$8="Yes",ROUND((-$K$8*(1+'Part VII-Pro Forma'!$B$6)^('Part VII-Pro Forma'!C101-1)),),IF('Part VII-Pro Forma'!$G$9="Yes",ROUND((-(SUM(C102:C105)*'Part VII-Pro Forma'!$K$9)),),"Choose mgt fee")))</f>
        <v>-61296</v>
      </c>
      <c r="D108" s="23">
        <f>IF(AND('Part VII-Pro Forma'!$G$8="Yes",'Part VII-Pro Forma'!$G$9="Yes"),"Choose One!",IF('Part VII-Pro Forma'!$G$8="Yes",ROUND((-$K$8*(1+'Part VII-Pro Forma'!$B$6)^('Part VII-Pro Forma'!D101-1)),),IF('Part VII-Pro Forma'!$G$9="Yes",ROUND((-(SUM(D102:D105)*'Part VII-Pro Forma'!$K$9)),),"Choose mgt fee")))</f>
        <v>-62522</v>
      </c>
      <c r="E108" s="23">
        <f>IF(AND('Part VII-Pro Forma'!$G$8="Yes",'Part VII-Pro Forma'!$G$9="Yes"),"Choose One!",IF('Part VII-Pro Forma'!$G$8="Yes",ROUND((-$K$8*(1+'Part VII-Pro Forma'!$B$6)^('Part VII-Pro Forma'!E101-1)),),IF('Part VII-Pro Forma'!$G$9="Yes",ROUND((-(SUM(E102:E105)*'Part VII-Pro Forma'!$K$9)),),"Choose mgt fee")))</f>
        <v>-63773</v>
      </c>
      <c r="F108" s="24">
        <f>IF(AND('Part VII-Pro Forma'!$G$8="Yes",'Part VII-Pro Forma'!$G$9="Yes"),"Choose One!",IF('Part VII-Pro Forma'!$G$8="Yes",ROUND((-$K$8*(1+'Part VII-Pro Forma'!$B$6)^('Part VII-Pro Forma'!F101-1)),),IF('Part VII-Pro Forma'!$G$9="Yes",ROUND((-(SUM(F102:F105)*'Part VII-Pro Forma'!$K$9)),),"Choose mgt fee")))</f>
        <v>-65048</v>
      </c>
      <c r="G108" s="18"/>
      <c r="H108" s="18"/>
      <c r="I108" s="18"/>
      <c r="J108" s="18"/>
      <c r="K108" s="18"/>
      <c r="N108" s="3222"/>
      <c r="O108" s="3223"/>
    </row>
    <row r="109" spans="1:15" ht="13.15" customHeight="1">
      <c r="A109" s="22" t="s">
        <v>1214</v>
      </c>
      <c r="B109" s="23">
        <f>$B$21*(1+$B$7)^(B101-1)</f>
        <v>-43690.724481413861</v>
      </c>
      <c r="C109" s="23">
        <f>$B$21*(1+$B$7)^(C101-1)</f>
        <v>-45001.446215856289</v>
      </c>
      <c r="D109" s="23">
        <f>$B$21*(1+$B$7)^(D101-1)</f>
        <v>-46351.489602331967</v>
      </c>
      <c r="E109" s="23">
        <f>$B$21*(1+$B$7)^(E101-1)</f>
        <v>-47742.034290401927</v>
      </c>
      <c r="F109" s="24">
        <f>$B$21*(1+$B$7)^(F101-1)</f>
        <v>-49174.295319113975</v>
      </c>
      <c r="G109" s="18"/>
      <c r="H109" s="18"/>
      <c r="I109" s="18"/>
      <c r="J109" s="18"/>
      <c r="K109" s="18"/>
      <c r="N109" s="3222"/>
      <c r="O109" s="3223"/>
    </row>
    <row r="110" spans="1:15" ht="13.15" customHeight="1">
      <c r="A110" s="22" t="s">
        <v>1215</v>
      </c>
      <c r="B110" s="23">
        <f>SUM(B102:B109)</f>
        <v>161297.94173116385</v>
      </c>
      <c r="C110" s="23">
        <f>SUM(C102:C109)</f>
        <v>156721.9764403904</v>
      </c>
      <c r="D110" s="23">
        <f>SUM(D102:D109)</f>
        <v>151820.47772004004</v>
      </c>
      <c r="E110" s="23">
        <f>SUM(E102:E109)</f>
        <v>146579.39327780754</v>
      </c>
      <c r="F110" s="24">
        <f>SUM(F102:F109)</f>
        <v>140986.19912683163</v>
      </c>
      <c r="G110" s="18"/>
      <c r="H110" s="18"/>
      <c r="I110" s="18"/>
      <c r="J110" s="18"/>
      <c r="K110" s="18"/>
      <c r="N110" s="3222"/>
      <c r="O110" s="3223"/>
    </row>
    <row r="111" spans="1:15" ht="13.15" customHeight="1">
      <c r="A111" s="22" t="str">
        <f>$A83</f>
        <v>Mortgage A</v>
      </c>
      <c r="B111" s="3230">
        <f>IF('Part III-Sources of Funds'!$N$37="", 0,-'Part III-Sources of Funds'!$N$37)</f>
        <v>-154731.08439713262</v>
      </c>
      <c r="C111" s="3230">
        <f>IF('Part III-Sources of Funds'!$N$37="", 0,-'Part III-Sources of Funds'!$N$37)</f>
        <v>-154731.08439713262</v>
      </c>
      <c r="D111" s="3230">
        <f>IF('Part III-Sources of Funds'!$N$37="", 0,-'Part III-Sources of Funds'!$N$37)</f>
        <v>-154731.08439713262</v>
      </c>
      <c r="E111" s="3230">
        <f>IF('Part III-Sources of Funds'!$N$37="", 0,-'Part III-Sources of Funds'!$N$37)</f>
        <v>-154731.08439713262</v>
      </c>
      <c r="F111" s="3230">
        <f>IF('Part III-Sources of Funds'!$N$37="", 0,-'Part III-Sources of Funds'!$N$37)</f>
        <v>-154731.08439713262</v>
      </c>
      <c r="G111" s="18"/>
      <c r="H111" s="18"/>
      <c r="I111" s="18"/>
      <c r="J111" s="18"/>
      <c r="K111" s="18"/>
      <c r="N111" s="3222"/>
      <c r="O111" s="3223"/>
    </row>
    <row r="112" spans="1:15" ht="13.15" customHeight="1">
      <c r="A112" s="22" t="str">
        <f>$A84</f>
        <v>Mortgage B</v>
      </c>
      <c r="B112" s="3231">
        <f>IF('Part III-Sources of Funds'!$N$38="", 0,-'Part III-Sources of Funds'!$N$38)</f>
        <v>0</v>
      </c>
      <c r="C112" s="3231">
        <f>IF('Part III-Sources of Funds'!$N$38="", 0,-'Part III-Sources of Funds'!$N$38)</f>
        <v>0</v>
      </c>
      <c r="D112" s="3231">
        <f>IF('Part III-Sources of Funds'!$N$38="", 0,-'Part III-Sources of Funds'!$N$38)</f>
        <v>0</v>
      </c>
      <c r="E112" s="3231">
        <f>IF('Part III-Sources of Funds'!$N$38="", 0,-'Part III-Sources of Funds'!$N$38)</f>
        <v>0</v>
      </c>
      <c r="F112" s="3231">
        <f>IF('Part III-Sources of Funds'!$N$38="", 0,-'Part III-Sources of Funds'!$N$38)</f>
        <v>0</v>
      </c>
      <c r="G112" s="18"/>
      <c r="H112" s="18"/>
      <c r="I112" s="18"/>
      <c r="J112" s="18"/>
      <c r="K112" s="18"/>
      <c r="N112" s="3222"/>
      <c r="O112" s="3223"/>
    </row>
    <row r="113" spans="1:15" ht="13.15" customHeight="1">
      <c r="A113" s="22" t="str">
        <f>$A85</f>
        <v>Mortgage C</v>
      </c>
      <c r="B113" s="3231">
        <f>IF('Part III-Sources of Funds'!$N$39="", 0,-'Part III-Sources of Funds'!$N$39)</f>
        <v>0</v>
      </c>
      <c r="C113" s="3231">
        <f>IF('Part III-Sources of Funds'!$N$39="", 0,-'Part III-Sources of Funds'!$N$39)</f>
        <v>0</v>
      </c>
      <c r="D113" s="3231">
        <f>IF('Part III-Sources of Funds'!$N$39="", 0,-'Part III-Sources of Funds'!$N$39)</f>
        <v>0</v>
      </c>
      <c r="E113" s="3231">
        <f>IF('Part III-Sources of Funds'!$N$39="", 0,-'Part III-Sources of Funds'!$N$39)</f>
        <v>0</v>
      </c>
      <c r="F113" s="3231">
        <f>IF('Part III-Sources of Funds'!$N$39="", 0,-'Part III-Sources of Funds'!$N$39)</f>
        <v>0</v>
      </c>
      <c r="G113" s="18"/>
      <c r="H113" s="18"/>
      <c r="I113" s="18"/>
      <c r="J113" s="18"/>
      <c r="K113" s="18"/>
      <c r="N113" s="3222"/>
      <c r="O113" s="3223"/>
    </row>
    <row r="114" spans="1:15" ht="13.15" customHeight="1">
      <c r="A114" s="22" t="str">
        <f>$A86</f>
        <v>D/S Other Source,not DDF</v>
      </c>
      <c r="B114" s="3231">
        <f>IF('Part III-Sources of Funds'!$N$40="", 0,-'Part III-Sources of Funds'!$N$40)</f>
        <v>0</v>
      </c>
      <c r="C114" s="3231">
        <f>IF('Part III-Sources of Funds'!$N$40="", 0,-'Part III-Sources of Funds'!$N$40)</f>
        <v>0</v>
      </c>
      <c r="D114" s="3231">
        <f>IF('Part III-Sources of Funds'!$N$40="", 0,-'Part III-Sources of Funds'!$N$40)</f>
        <v>0</v>
      </c>
      <c r="E114" s="3231">
        <f>IF('Part III-Sources of Funds'!$N$40="", 0,-'Part III-Sources of Funds'!$N$40)</f>
        <v>0</v>
      </c>
      <c r="F114" s="3231">
        <f>IF('Part III-Sources of Funds'!$N$40="", 0,-'Part III-Sources of Funds'!$N$40)</f>
        <v>0</v>
      </c>
      <c r="G114" s="18"/>
      <c r="H114" s="18"/>
      <c r="I114" s="18"/>
      <c r="J114" s="18"/>
      <c r="K114" s="18"/>
      <c r="N114" s="3222"/>
      <c r="O114" s="3223"/>
    </row>
    <row r="115" spans="1:15" ht="13.15" customHeight="1">
      <c r="A115" s="22" t="s">
        <v>771</v>
      </c>
      <c r="B115" s="3232"/>
      <c r="C115" s="3232"/>
      <c r="D115" s="3232"/>
      <c r="E115" s="3232"/>
      <c r="F115" s="3232"/>
      <c r="G115" s="18"/>
      <c r="H115" s="18"/>
      <c r="I115" s="18"/>
      <c r="J115" s="18"/>
      <c r="K115" s="18"/>
      <c r="N115" s="3222"/>
      <c r="O115" s="3223"/>
    </row>
    <row r="116" spans="1:15" ht="13.15" customHeight="1">
      <c r="A116" s="22" t="s">
        <v>1174</v>
      </c>
      <c r="B116" s="3234">
        <f>+K88</f>
        <v>-5000</v>
      </c>
      <c r="C116" s="3234">
        <f>+B116</f>
        <v>-5000</v>
      </c>
      <c r="D116" s="3234">
        <f>+C116</f>
        <v>-5000</v>
      </c>
      <c r="E116" s="3234">
        <f>+D116</f>
        <v>-5000</v>
      </c>
      <c r="F116" s="3234">
        <f>+E116</f>
        <v>-5000</v>
      </c>
      <c r="G116" s="18"/>
      <c r="H116" s="18"/>
      <c r="I116" s="18"/>
      <c r="J116" s="18"/>
      <c r="K116" s="18"/>
      <c r="N116" s="3222"/>
      <c r="O116" s="3223"/>
    </row>
    <row r="117" spans="1:15" ht="13.15" customHeight="1">
      <c r="A117" s="22" t="s">
        <v>1175</v>
      </c>
      <c r="B117" s="23">
        <f>SUM(B110:B116)</f>
        <v>1566.8573340312287</v>
      </c>
      <c r="C117" s="23">
        <f>SUM(C110:C116)</f>
        <v>-3009.1079567422275</v>
      </c>
      <c r="D117" s="23">
        <f>SUM(D110:D116)</f>
        <v>-7910.6066770925827</v>
      </c>
      <c r="E117" s="23">
        <f>SUM(E110:E116)</f>
        <v>-13151.691119325085</v>
      </c>
      <c r="F117" s="24">
        <f>SUM(F110:F116)</f>
        <v>-18744.885270300991</v>
      </c>
      <c r="G117" s="18"/>
      <c r="H117" s="18"/>
      <c r="I117" s="18"/>
      <c r="J117" s="18"/>
      <c r="K117" s="18"/>
      <c r="N117" s="3222"/>
      <c r="O117" s="3223"/>
    </row>
    <row r="118" spans="1:15" ht="13.15" customHeight="1">
      <c r="A118" s="22" t="str">
        <f>$A90</f>
        <v>DCR Mortgage A</v>
      </c>
      <c r="B118" s="25">
        <f>IF(B111=0,"",-B110/B111)</f>
        <v>1.0424404531230242</v>
      </c>
      <c r="C118" s="25">
        <f>IF(C111=0,"",-C110/C111)</f>
        <v>1.0128667878921338</v>
      </c>
      <c r="D118" s="25">
        <f>IF(D111=0,"",-D110/D111)</f>
        <v>0.98118925690702052</v>
      </c>
      <c r="E118" s="25">
        <f>IF(E111=0,"",-E110/E111)</f>
        <v>0.94731704265444838</v>
      </c>
      <c r="F118" s="26">
        <f>IF(F111=0,"",-F110/F111)</f>
        <v>0.91116920479259755</v>
      </c>
      <c r="G118" s="18"/>
      <c r="H118" s="18"/>
      <c r="I118" s="18"/>
      <c r="J118" s="18"/>
      <c r="K118" s="18"/>
      <c r="N118" s="3222"/>
      <c r="O118" s="322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2"/>
      <c r="O119" s="322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2"/>
      <c r="O120" s="3223"/>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2"/>
      <c r="O121" s="3223"/>
    </row>
    <row r="122" spans="1:15" ht="13.15" customHeight="1">
      <c r="A122" s="435" t="s">
        <v>3739</v>
      </c>
      <c r="B122" s="25">
        <f>IF(AND(B111=0,B112=0,B113=0,B114=0),"",-B110/(B111+B112+B113+B114))</f>
        <v>1.0424404531230242</v>
      </c>
      <c r="C122" s="25">
        <f>IF(AND(C111=0,C112=0,C113=0,C114=0),"",-C110/(C111+C112+C113+C114))</f>
        <v>1.0128667878921338</v>
      </c>
      <c r="D122" s="25">
        <f>IF(AND(D111=0,D112=0,D113=0,D114=0),"",-D110/(D111+D112+D113+D114))</f>
        <v>0.98118925690702052</v>
      </c>
      <c r="E122" s="25">
        <f>IF(AND(E111=0,E112=0,E113=0,E114=0),"",-E110/(E111+E112+E113+E114))</f>
        <v>0.94731704265444838</v>
      </c>
      <c r="F122" s="26">
        <f>IF(AND(F111=0,F112=0,F113=0,F114=0),"",-F110/(F111+F112+F113+F114))</f>
        <v>0.91116920479259755</v>
      </c>
      <c r="G122" s="18"/>
      <c r="H122" s="18"/>
      <c r="I122" s="18"/>
      <c r="J122" s="18"/>
      <c r="K122" s="18"/>
      <c r="N122" s="3222"/>
      <c r="O122" s="3223"/>
    </row>
    <row r="123" spans="1:15" ht="13.15" customHeight="1">
      <c r="A123" s="22" t="s">
        <v>778</v>
      </c>
      <c r="B123" s="274">
        <f>IF(OR(B108="Choose mgt fee",B108="Choose One!"),"",(B102+B103+B104+B105+B106) / -(B107+B108+B109))</f>
        <v>1.1919586498458916</v>
      </c>
      <c r="C123" s="274">
        <f>IF(OR(C108="Choose mgt fee",C108="Choose One!"),"",(C102+C103+C104+C105+C106) / -(C107+C108+C109))</f>
        <v>1.1812062317943126</v>
      </c>
      <c r="D123" s="274">
        <f>IF(OR(D108="Choose mgt fee",D108="Choose One!"),"",(D102+D103+D104+D105+D106) / -(D107+D108+D109))</f>
        <v>1.1705435311245533</v>
      </c>
      <c r="E123" s="274">
        <f>IF(OR(E108="Choose mgt fee",E108="Choose One!"),"",(E102+E103+E104+E105+E106) / -(E107+E108+E109))</f>
        <v>1.159969268719081</v>
      </c>
      <c r="F123" s="671">
        <f>IF(OR(F108="Choose mgt fee",F108="Choose One!"),"",(F102+F103+F104+F105+F106) / -(F107+F108+F109))</f>
        <v>1.1494847149484002</v>
      </c>
      <c r="G123" s="18"/>
      <c r="H123" s="18"/>
      <c r="I123" s="18"/>
      <c r="J123" s="18"/>
      <c r="K123" s="18"/>
      <c r="N123" s="3222"/>
      <c r="O123" s="3223"/>
    </row>
    <row r="124" spans="1:15" ht="13.15" customHeight="1">
      <c r="A124" s="435" t="s">
        <v>2634</v>
      </c>
      <c r="B124" s="3235">
        <f>IF('Part III-Sources of Funds'!$I$37="","",-FV('Part III-Sources of Funds'!$K$37/12,12,B111/12,K96))</f>
        <v>1096450.7018413718</v>
      </c>
      <c r="C124" s="3235">
        <f>IF('Part III-Sources of Funds'!$I$37="","",-FV('Part III-Sources of Funds'!$K$37/12,12,C111/12,B124))</f>
        <v>999607.33256908134</v>
      </c>
      <c r="D124" s="3235">
        <f>IF('Part III-Sources of Funds'!$I$37="","",-FV('Part III-Sources of Funds'!$K$37/12,12,D111/12,C124))</f>
        <v>897301.23604361457</v>
      </c>
      <c r="E124" s="3235">
        <f>IF('Part III-Sources of Funds'!$I$37="","",-FV('Part III-Sources of Funds'!$K$37/12,12,E111/12,D124))</f>
        <v>789224.27150875027</v>
      </c>
      <c r="F124" s="3235">
        <f>IF('Part III-Sources of Funds'!$I$37="","",-FV('Part III-Sources of Funds'!$K$37/12,12,F111/12,E124))</f>
        <v>675050.91664751084</v>
      </c>
      <c r="G124" s="18"/>
      <c r="H124" s="18"/>
      <c r="I124" s="18"/>
      <c r="J124" s="18"/>
      <c r="K124" s="18"/>
      <c r="N124" s="3222"/>
      <c r="O124" s="3223"/>
    </row>
    <row r="125" spans="1:15" ht="13.15" customHeight="1">
      <c r="A125" s="435" t="s">
        <v>2635</v>
      </c>
      <c r="B125" s="3231" t="str">
        <f>IF('Part III-Sources of Funds'!$I$38="","",-FV('Part III-Sources of Funds'!$K$38/12,12,B112/12,K97))</f>
        <v/>
      </c>
      <c r="C125" s="3231" t="str">
        <f>IF('Part III-Sources of Funds'!$I$38="","",-FV('Part III-Sources of Funds'!$K$38/12,12,C112/12,B125))</f>
        <v/>
      </c>
      <c r="D125" s="3231" t="str">
        <f>IF('Part III-Sources of Funds'!$I$38="","",-FV('Part III-Sources of Funds'!$K$38/12,12,D112/12,C125))</f>
        <v/>
      </c>
      <c r="E125" s="3231" t="str">
        <f>IF('Part III-Sources of Funds'!$I$38="","",-FV('Part III-Sources of Funds'!$K$38/12,12,E112/12,D125))</f>
        <v/>
      </c>
      <c r="F125" s="3231" t="str">
        <f>IF('Part III-Sources of Funds'!$I$38="","",-FV('Part III-Sources of Funds'!$K$38/12,12,F112/12,E125))</f>
        <v/>
      </c>
      <c r="G125" s="18"/>
      <c r="H125" s="18"/>
      <c r="I125" s="18"/>
      <c r="J125" s="18"/>
      <c r="K125" s="18"/>
      <c r="N125" s="3222"/>
      <c r="O125" s="3223"/>
    </row>
    <row r="126" spans="1:15" ht="13.15" customHeight="1">
      <c r="A126" s="435" t="s">
        <v>2636</v>
      </c>
      <c r="B126" s="3231" t="str">
        <f>IF('Part III-Sources of Funds'!$I$39="","",-FV('Part III-Sources of Funds'!$K$39/12,12,B113/12,K98))</f>
        <v/>
      </c>
      <c r="C126" s="3231" t="str">
        <f>IF('Part III-Sources of Funds'!$I$39="","",-FV('Part III-Sources of Funds'!$K$39/12,12,C113/12,B126))</f>
        <v/>
      </c>
      <c r="D126" s="3231" t="str">
        <f>IF('Part III-Sources of Funds'!$I$39="","",-FV('Part III-Sources of Funds'!$K$39/12,12,D113/12,C126))</f>
        <v/>
      </c>
      <c r="E126" s="3231" t="str">
        <f>IF('Part III-Sources of Funds'!$I$39="","",-FV('Part III-Sources of Funds'!$K$39/12,12,E113/12,D126))</f>
        <v/>
      </c>
      <c r="F126" s="3231" t="str">
        <f>IF('Part III-Sources of Funds'!$I$39="","",-FV('Part III-Sources of Funds'!$K$39/12,12,F113/12,E126))</f>
        <v/>
      </c>
      <c r="G126" s="18"/>
      <c r="H126" s="18"/>
      <c r="I126" s="18"/>
      <c r="J126" s="18"/>
      <c r="K126" s="18"/>
      <c r="N126" s="3222"/>
      <c r="O126" s="3223"/>
    </row>
    <row r="127" spans="1:15" ht="13.15" customHeight="1">
      <c r="A127" s="27" t="s">
        <v>792</v>
      </c>
      <c r="B127" s="3234" t="str">
        <f>IF('Part III-Sources of Funds'!$I$40="","",-FV('Part III-Sources of Funds'!$K$40/12,12,B114/12,K99))</f>
        <v/>
      </c>
      <c r="C127" s="3234" t="str">
        <f>IF('Part III-Sources of Funds'!$I$40="","",-FV('Part III-Sources of Funds'!$K$40/12,12,C114/12,B127))</f>
        <v/>
      </c>
      <c r="D127" s="3234" t="str">
        <f>IF('Part III-Sources of Funds'!$I$40="","",-FV('Part III-Sources of Funds'!$K$40/12,12,D114/12,C127))</f>
        <v/>
      </c>
      <c r="E127" s="3234" t="str">
        <f>IF('Part III-Sources of Funds'!$I$40="","",-FV('Part III-Sources of Funds'!$K$40/12,12,E114/12,D127))</f>
        <v/>
      </c>
      <c r="F127" s="3234" t="str">
        <f>IF('Part III-Sources of Funds'!$I$40="","",-FV('Part III-Sources of Funds'!$K$40/12,12,F114/12,E127))</f>
        <v/>
      </c>
      <c r="G127" s="18"/>
      <c r="H127" s="18"/>
      <c r="I127" s="18"/>
      <c r="J127" s="18"/>
      <c r="K127" s="18"/>
      <c r="N127" s="3228"/>
      <c r="O127" s="3229"/>
    </row>
    <row r="128" spans="1:15" ht="4.1500000000000004" customHeight="1"/>
    <row r="129" spans="1:18" ht="12" customHeight="1">
      <c r="A129" s="14" t="s">
        <v>576</v>
      </c>
      <c r="B129" s="14"/>
      <c r="G129" s="14" t="s">
        <v>1041</v>
      </c>
    </row>
    <row r="130" spans="1:18" ht="12" customHeight="1">
      <c r="B130" s="32"/>
    </row>
    <row r="131" spans="1:18" ht="409.5" customHeight="1">
      <c r="A131" s="3236" t="s">
        <v>4752</v>
      </c>
      <c r="B131" s="3237"/>
      <c r="C131" s="3237"/>
      <c r="D131" s="3237"/>
      <c r="E131" s="3237"/>
      <c r="F131" s="3238"/>
      <c r="G131" s="3239"/>
      <c r="H131" s="3240"/>
      <c r="I131" s="3240"/>
      <c r="J131" s="3240"/>
      <c r="K131" s="3241"/>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h3eMUF5UpFWZt7DZW4vSwyXDBxCgA7CHnrHS2Gg51/FH+cVatb3I6ttNZsYlfdI0yhseLrD+lIqCRgs0Ak2qcw==" saltValue="nIXpJVVVRtGfr0rgv5lGF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55" zoomScale="130" zoomScaleNormal="13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2018-035 Peaks of Cartersville, Cartersville, Bartow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3873</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3" t="s">
        <v>4742</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2753</v>
      </c>
      <c r="Q38" s="3000"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3920</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4132</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13449266.200550128</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4131</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30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30 units = </v>
      </c>
      <c r="I63" s="906">
        <f>F63*G63</f>
        <v>4803870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13450872</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42</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42 units = </v>
      </c>
      <c r="I64" s="906">
        <f>F64*G64</f>
        <v>8647002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4292</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72</v>
      </c>
      <c r="G67" s="659"/>
      <c r="H67" s="1199"/>
      <c r="I67" s="1202">
        <f>SUM(I62:I66)</f>
        <v>13450872</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72</v>
      </c>
      <c r="G69" s="346"/>
      <c r="H69" s="1951">
        <f>I46+I53+I60+I67</f>
        <v>13450872</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3113" t="s">
        <v>4723</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HFOP</v>
      </c>
      <c r="K73" s="3117"/>
      <c r="L73" s="3118"/>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3113" t="s">
        <v>4732</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3723</v>
      </c>
      <c r="O79" s="147"/>
      <c r="P79" s="3000" t="s">
        <v>4635</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19" t="s">
        <v>4644</v>
      </c>
      <c r="K81" s="3120"/>
      <c r="L81" s="3120"/>
      <c r="M81" s="3120"/>
      <c r="N81" s="3120"/>
      <c r="O81" s="3120"/>
      <c r="P81" s="3120"/>
      <c r="Q81" s="3121"/>
    </row>
    <row r="82" spans="1:31" ht="10.9" customHeight="1">
      <c r="A82" s="148"/>
      <c r="B82" s="68" t="s">
        <v>1751</v>
      </c>
      <c r="C82" s="956" t="s">
        <v>3605</v>
      </c>
      <c r="E82" s="1594"/>
      <c r="F82" s="1594"/>
      <c r="G82" s="1594"/>
      <c r="H82" s="34"/>
      <c r="I82" s="37" t="s">
        <v>2723</v>
      </c>
      <c r="J82" s="3122" t="s">
        <v>4642</v>
      </c>
      <c r="K82" s="3123"/>
      <c r="L82" s="3123"/>
      <c r="M82" s="3123"/>
      <c r="N82" s="3123"/>
      <c r="O82" s="3123"/>
      <c r="P82" s="3123"/>
      <c r="Q82" s="3124"/>
    </row>
    <row r="83" spans="1:31" ht="10.9" customHeight="1">
      <c r="A83" s="148"/>
      <c r="B83" s="68" t="s">
        <v>1752</v>
      </c>
      <c r="C83" s="956" t="s">
        <v>3606</v>
      </c>
      <c r="E83" s="1594"/>
      <c r="F83" s="1594"/>
      <c r="G83" s="1594"/>
      <c r="H83" s="34"/>
      <c r="I83" s="37" t="s">
        <v>2723</v>
      </c>
      <c r="J83" s="3122" t="s">
        <v>4643</v>
      </c>
      <c r="K83" s="3123"/>
      <c r="L83" s="3123"/>
      <c r="M83" s="3123"/>
      <c r="N83" s="3123"/>
      <c r="O83" s="3123"/>
      <c r="P83" s="3123"/>
      <c r="Q83" s="3124"/>
    </row>
    <row r="84" spans="1:31" ht="10.9" customHeight="1">
      <c r="A84" s="148"/>
      <c r="B84" s="484" t="s">
        <v>2381</v>
      </c>
      <c r="C84" s="956" t="s">
        <v>3931</v>
      </c>
      <c r="E84" s="1594"/>
      <c r="I84" s="37" t="s">
        <v>2723</v>
      </c>
      <c r="J84" s="3125"/>
      <c r="K84" s="3126"/>
      <c r="L84" s="3126"/>
      <c r="M84" s="3126"/>
      <c r="N84" s="3126"/>
      <c r="O84" s="3126"/>
      <c r="P84" s="3126"/>
      <c r="Q84" s="3127"/>
    </row>
    <row r="85" spans="1:31" ht="10.9" customHeight="1">
      <c r="A85" s="48" t="s">
        <v>757</v>
      </c>
      <c r="B85" s="41" t="s">
        <v>3591</v>
      </c>
      <c r="D85" s="956"/>
      <c r="E85" s="1594"/>
      <c r="J85" s="37"/>
      <c r="K85" s="37"/>
      <c r="L85" s="37"/>
      <c r="M85" s="37"/>
      <c r="N85" s="37"/>
      <c r="O85" s="37"/>
      <c r="P85" s="37"/>
      <c r="Q85" s="37"/>
    </row>
    <row r="86" spans="1:31" ht="10.9" customHeight="1">
      <c r="A86" s="148"/>
      <c r="B86" s="56" t="s">
        <v>3922</v>
      </c>
      <c r="D86" s="138"/>
      <c r="E86" s="138"/>
      <c r="F86" s="138"/>
      <c r="G86" s="138"/>
      <c r="H86" s="138"/>
      <c r="I86" s="43"/>
      <c r="J86" s="43"/>
      <c r="K86" s="484" t="s">
        <v>757</v>
      </c>
      <c r="L86" s="3128"/>
      <c r="M86" s="3129"/>
      <c r="N86" s="3129"/>
      <c r="O86" s="3129"/>
      <c r="P86" s="3130"/>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39" customHeight="1">
      <c r="A88" s="3131" t="s">
        <v>4710</v>
      </c>
      <c r="B88" s="3132"/>
      <c r="C88" s="3132"/>
      <c r="D88" s="3132"/>
      <c r="E88" s="3132"/>
      <c r="F88" s="3132"/>
      <c r="G88" s="3132"/>
      <c r="H88" s="3132"/>
      <c r="I88" s="3132"/>
      <c r="J88" s="3133"/>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4" t="s">
        <v>4649</v>
      </c>
      <c r="N92" s="3135"/>
      <c r="O92" s="3135"/>
      <c r="P92" s="3136"/>
      <c r="Q92" s="561"/>
    </row>
    <row r="93" spans="1:31" ht="10.5" customHeight="1">
      <c r="A93" s="48" t="s">
        <v>2001</v>
      </c>
      <c r="B93" s="53" t="s">
        <v>2052</v>
      </c>
      <c r="D93" s="138"/>
      <c r="E93" s="138"/>
      <c r="F93" s="138"/>
      <c r="L93" s="484" t="s">
        <v>2001</v>
      </c>
      <c r="M93" s="3137" t="s">
        <v>4746</v>
      </c>
      <c r="N93" s="3138"/>
      <c r="O93" s="3138"/>
      <c r="P93" s="3139"/>
      <c r="Q93" s="562"/>
    </row>
    <row r="94" spans="1:31" ht="10.5" customHeight="1">
      <c r="A94" s="48" t="s">
        <v>757</v>
      </c>
      <c r="B94" s="53" t="s">
        <v>2898</v>
      </c>
      <c r="D94" s="138"/>
      <c r="E94" s="138"/>
      <c r="F94" s="138"/>
      <c r="L94" s="484" t="s">
        <v>757</v>
      </c>
      <c r="M94" s="3140">
        <v>0.999</v>
      </c>
      <c r="N94" s="3141"/>
      <c r="O94" s="3141"/>
      <c r="P94" s="3142"/>
      <c r="Q94" s="562"/>
    </row>
    <row r="95" spans="1:31" ht="10.5" customHeight="1">
      <c r="A95" s="48" t="s">
        <v>2131</v>
      </c>
      <c r="B95" s="53" t="s">
        <v>3924</v>
      </c>
      <c r="D95" s="138"/>
      <c r="E95" s="138"/>
      <c r="F95" s="138"/>
      <c r="L95" s="484" t="s">
        <v>3925</v>
      </c>
      <c r="M95" s="3143">
        <v>1</v>
      </c>
      <c r="N95" s="1205"/>
      <c r="O95" s="1206" t="s">
        <v>4174</v>
      </c>
      <c r="P95" s="3144">
        <v>0.998</v>
      </c>
      <c r="Q95" s="563"/>
    </row>
    <row r="96" spans="1:31" ht="10.5" customHeight="1">
      <c r="A96" s="146" t="s">
        <v>1748</v>
      </c>
      <c r="B96" s="144" t="s">
        <v>3923</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5" t="s">
        <v>4657</v>
      </c>
      <c r="E98" s="3146" t="s">
        <v>4651</v>
      </c>
      <c r="F98" s="3146"/>
      <c r="G98" s="3146"/>
      <c r="H98" s="68" t="s">
        <v>1752</v>
      </c>
      <c r="I98" s="3145" t="s">
        <v>4658</v>
      </c>
      <c r="J98" s="3146" t="s">
        <v>4650</v>
      </c>
      <c r="K98" s="3146"/>
      <c r="L98" s="3146"/>
      <c r="M98" s="67" t="s">
        <v>1561</v>
      </c>
      <c r="N98" s="3145" t="s">
        <v>4654</v>
      </c>
      <c r="O98" s="3146" t="s">
        <v>4656</v>
      </c>
      <c r="P98" s="3146"/>
      <c r="Q98" s="3146"/>
    </row>
    <row r="99" spans="1:31" ht="10.5" customHeight="1">
      <c r="C99" s="68" t="s">
        <v>1751</v>
      </c>
      <c r="D99" s="3147" t="s">
        <v>4659</v>
      </c>
      <c r="E99" s="3148" t="s">
        <v>4652</v>
      </c>
      <c r="F99" s="3148"/>
      <c r="G99" s="3148"/>
      <c r="H99" s="484" t="s">
        <v>2381</v>
      </c>
      <c r="I99" s="3147" t="s">
        <v>4655</v>
      </c>
      <c r="J99" s="3148" t="s">
        <v>4653</v>
      </c>
      <c r="K99" s="3148"/>
      <c r="L99" s="3148"/>
      <c r="M99" s="67" t="s">
        <v>1562</v>
      </c>
      <c r="N99" s="3147"/>
      <c r="O99" s="3148"/>
      <c r="P99" s="3148"/>
      <c r="Q99" s="3148"/>
    </row>
    <row r="100" spans="1:31" ht="10.5" customHeight="1">
      <c r="A100" s="48" t="s">
        <v>1749</v>
      </c>
      <c r="B100" s="53" t="s">
        <v>0</v>
      </c>
      <c r="D100" s="138"/>
      <c r="E100" s="138"/>
      <c r="F100" s="138"/>
      <c r="G100" s="138"/>
      <c r="H100" s="138"/>
      <c r="I100" s="43"/>
      <c r="J100" s="43"/>
      <c r="K100" s="138"/>
      <c r="L100" s="1594"/>
      <c r="M100" s="1594"/>
      <c r="O100" s="484" t="s">
        <v>1749</v>
      </c>
      <c r="P100" s="2978"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31" t="s">
        <v>4724</v>
      </c>
      <c r="B107" s="3132"/>
      <c r="C107" s="3132"/>
      <c r="D107" s="3132"/>
      <c r="E107" s="3132"/>
      <c r="F107" s="3132"/>
      <c r="G107" s="3132"/>
      <c r="H107" s="3132"/>
      <c r="I107" s="3132"/>
      <c r="J107" s="3132"/>
      <c r="K107" s="3132"/>
      <c r="L107" s="3132"/>
      <c r="M107" s="3132"/>
      <c r="N107" s="3132"/>
      <c r="O107" s="3132"/>
      <c r="P107" s="3132"/>
      <c r="Q107" s="3133"/>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8"/>
      <c r="N114" s="3129"/>
      <c r="O114" s="3129"/>
      <c r="P114" s="3149"/>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50"/>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3011</v>
      </c>
      <c r="Q121" s="561"/>
    </row>
    <row r="122" spans="1:32" ht="10.5" customHeight="1">
      <c r="B122" s="68" t="s">
        <v>1751</v>
      </c>
      <c r="C122" s="53" t="s">
        <v>1442</v>
      </c>
      <c r="E122" s="53"/>
      <c r="F122" s="53"/>
      <c r="G122" s="53"/>
      <c r="H122" s="53"/>
      <c r="I122" s="53"/>
      <c r="J122" s="53"/>
      <c r="K122" s="53"/>
      <c r="L122" s="956"/>
      <c r="M122" s="956"/>
      <c r="O122" s="68" t="s">
        <v>1751</v>
      </c>
      <c r="P122" s="2935" t="s">
        <v>3014</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3" t="s">
        <v>4741</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51" t="s">
        <v>4550</v>
      </c>
      <c r="M130" s="3151"/>
      <c r="N130" s="3151"/>
      <c r="O130" s="3151"/>
      <c r="P130" s="3151"/>
      <c r="Q130" s="560"/>
    </row>
    <row r="131" spans="1:17" ht="12" customHeight="1">
      <c r="A131" s="48" t="s">
        <v>2001</v>
      </c>
      <c r="B131" s="53" t="s">
        <v>1550</v>
      </c>
      <c r="D131" s="138"/>
      <c r="E131" s="138"/>
      <c r="F131" s="138"/>
      <c r="G131" s="138"/>
      <c r="H131" s="138"/>
      <c r="I131" s="43"/>
      <c r="J131" s="43"/>
      <c r="K131" s="138"/>
      <c r="L131" s="1594"/>
      <c r="O131" s="484" t="s">
        <v>2001</v>
      </c>
      <c r="P131" s="2980"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51" t="s">
        <v>4550</v>
      </c>
      <c r="M133" s="3151"/>
      <c r="N133" s="3151"/>
      <c r="O133" s="3151"/>
      <c r="P133" s="3151"/>
      <c r="Q133" s="560"/>
    </row>
    <row r="134" spans="1:17" ht="12" customHeight="1">
      <c r="A134" s="143"/>
      <c r="B134" s="68" t="s">
        <v>1751</v>
      </c>
      <c r="C134" s="37" t="s">
        <v>3496</v>
      </c>
      <c r="E134" s="43"/>
      <c r="F134" s="43"/>
      <c r="G134" s="43"/>
      <c r="H134" s="53"/>
      <c r="I134" s="43"/>
      <c r="J134" s="43"/>
      <c r="K134" s="138"/>
      <c r="L134" s="1594"/>
      <c r="M134" s="1594"/>
      <c r="O134" s="484" t="s">
        <v>1751</v>
      </c>
      <c r="P134" s="2978" t="s">
        <v>4551</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11.45" customHeight="1">
      <c r="A136" s="1585"/>
      <c r="B136" s="68"/>
      <c r="C136" s="3152" t="s">
        <v>4552</v>
      </c>
      <c r="D136" s="3152"/>
      <c r="E136" s="3152"/>
      <c r="F136" s="3152"/>
      <c r="G136" s="3152"/>
      <c r="H136" s="3152"/>
      <c r="I136" s="3152"/>
      <c r="J136" s="3152"/>
      <c r="K136" s="3152"/>
      <c r="L136" s="3152"/>
      <c r="M136" s="3152"/>
      <c r="N136" s="3152"/>
      <c r="O136" s="3152"/>
      <c r="P136" s="3152"/>
      <c r="Q136" s="3152"/>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3"/>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3014</v>
      </c>
      <c r="Q143" s="562"/>
    </row>
    <row r="144" spans="1:17" ht="12" customHeight="1">
      <c r="A144" s="48"/>
      <c r="B144" s="68"/>
      <c r="C144" s="53" t="s">
        <v>2649</v>
      </c>
      <c r="E144" s="484" t="s">
        <v>2451</v>
      </c>
      <c r="F144" s="53" t="s">
        <v>2653</v>
      </c>
      <c r="G144" s="43"/>
      <c r="H144" s="53"/>
      <c r="I144" s="43"/>
      <c r="J144" s="43"/>
      <c r="K144" s="138"/>
      <c r="L144" s="1594"/>
      <c r="O144" s="484" t="s">
        <v>2451</v>
      </c>
      <c r="P144" s="3153"/>
      <c r="Q144" s="909"/>
    </row>
    <row r="145" spans="1:18" ht="12" customHeight="1">
      <c r="A145" s="48"/>
      <c r="B145" s="68"/>
      <c r="E145" s="484" t="s">
        <v>2452</v>
      </c>
      <c r="F145" s="53" t="s">
        <v>2654</v>
      </c>
      <c r="G145" s="43"/>
      <c r="H145" s="53"/>
      <c r="I145" s="43"/>
      <c r="J145" s="43"/>
      <c r="O145" s="484" t="s">
        <v>2452</v>
      </c>
      <c r="P145" s="2935"/>
      <c r="Q145" s="562"/>
    </row>
    <row r="146" spans="1:18" ht="12" customHeight="1">
      <c r="A146" s="48"/>
      <c r="B146" s="68"/>
      <c r="E146" s="484" t="s">
        <v>2453</v>
      </c>
      <c r="F146" s="53" t="s">
        <v>2652</v>
      </c>
      <c r="G146" s="43"/>
      <c r="H146" s="53"/>
      <c r="I146" s="43"/>
      <c r="J146" s="43"/>
      <c r="O146" s="484" t="s">
        <v>2453</v>
      </c>
      <c r="P146" s="2935"/>
      <c r="Q146" s="562"/>
    </row>
    <row r="147" spans="1:18" ht="12" customHeight="1">
      <c r="A147" s="37"/>
      <c r="B147" s="68" t="s">
        <v>2381</v>
      </c>
      <c r="C147" s="53" t="s">
        <v>2655</v>
      </c>
      <c r="E147" s="138"/>
      <c r="F147" s="138"/>
      <c r="G147" s="138"/>
      <c r="H147" s="138"/>
      <c r="I147" s="43"/>
      <c r="J147" s="43"/>
      <c r="O147" s="68" t="s">
        <v>2381</v>
      </c>
      <c r="P147" s="2928"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3011</v>
      </c>
      <c r="G149" s="561"/>
      <c r="H149" s="68" t="s">
        <v>1561</v>
      </c>
      <c r="I149" s="56" t="s">
        <v>2657</v>
      </c>
      <c r="L149" s="2929" t="s">
        <v>3011</v>
      </c>
      <c r="M149" s="561"/>
      <c r="N149" s="484" t="s">
        <v>517</v>
      </c>
      <c r="O149" s="53" t="s">
        <v>1564</v>
      </c>
      <c r="P149" s="2929" t="s">
        <v>3014</v>
      </c>
      <c r="Q149" s="561"/>
    </row>
    <row r="150" spans="1:18" ht="12" customHeight="1">
      <c r="A150" s="37"/>
      <c r="B150" s="68" t="s">
        <v>1751</v>
      </c>
      <c r="C150" s="53" t="s">
        <v>2821</v>
      </c>
      <c r="E150" s="138"/>
      <c r="F150" s="2935" t="s">
        <v>3011</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3874</v>
      </c>
      <c r="L151" s="2935" t="s">
        <v>3014</v>
      </c>
      <c r="M151" s="562"/>
      <c r="N151" s="484" t="s">
        <v>2823</v>
      </c>
      <c r="O151" s="53" t="s">
        <v>1565</v>
      </c>
      <c r="P151" s="2928" t="s">
        <v>3014</v>
      </c>
      <c r="Q151" s="563"/>
    </row>
    <row r="152" spans="1:18" ht="12" customHeight="1">
      <c r="A152" s="37"/>
      <c r="B152" s="68" t="s">
        <v>2381</v>
      </c>
      <c r="C152" s="53" t="s">
        <v>2824</v>
      </c>
      <c r="E152" s="138"/>
      <c r="F152" s="2928" t="s">
        <v>3014</v>
      </c>
      <c r="G152" s="563"/>
      <c r="H152" s="484" t="s">
        <v>516</v>
      </c>
      <c r="I152" s="53" t="s">
        <v>2820</v>
      </c>
      <c r="L152" s="2928" t="s">
        <v>3011</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52"/>
      <c r="D154" s="3152"/>
      <c r="E154" s="3152"/>
      <c r="F154" s="3152"/>
      <c r="G154" s="3152"/>
      <c r="H154" s="3152"/>
      <c r="I154" s="3152"/>
      <c r="J154" s="3152"/>
      <c r="K154" s="3152"/>
      <c r="L154" s="3152"/>
      <c r="M154" s="3152"/>
      <c r="N154" s="3152"/>
      <c r="O154" s="3152"/>
      <c r="P154" s="3152"/>
      <c r="Q154" s="3152"/>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4" t="s">
        <v>1784</v>
      </c>
      <c r="O161" s="3155"/>
      <c r="P161" s="1943" t="s">
        <v>1784</v>
      </c>
      <c r="Q161" s="1944"/>
      <c r="AE161" s="5"/>
      <c r="AF161" s="5"/>
    </row>
    <row r="162" spans="1:32" s="1" customFormat="1" ht="12" customHeight="1">
      <c r="A162" s="48" t="s">
        <v>622</v>
      </c>
      <c r="B162" s="118" t="s">
        <v>1</v>
      </c>
      <c r="D162" s="1240"/>
      <c r="E162" s="1240"/>
      <c r="G162" s="484" t="s">
        <v>622</v>
      </c>
      <c r="H162" s="3156"/>
      <c r="I162" s="3157"/>
      <c r="J162" s="3157"/>
      <c r="K162" s="3157"/>
      <c r="L162" s="3157"/>
      <c r="M162" s="3157"/>
      <c r="N162" s="3157"/>
      <c r="O162" s="3157"/>
      <c r="P162" s="3158"/>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87.75" customHeight="1">
      <c r="A165" s="3113" t="s">
        <v>4753</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3932</v>
      </c>
      <c r="D171" s="53"/>
      <c r="E171" s="53"/>
      <c r="F171" s="53"/>
      <c r="G171" s="53"/>
      <c r="I171" s="53" t="s">
        <v>2725</v>
      </c>
      <c r="K171" s="3159">
        <v>43644</v>
      </c>
      <c r="L171" s="3160"/>
      <c r="N171" s="53"/>
      <c r="O171" s="484" t="s">
        <v>1999</v>
      </c>
      <c r="P171" s="3000" t="s">
        <v>3011</v>
      </c>
      <c r="Q171" s="559"/>
    </row>
    <row r="172" spans="1:32" ht="12" customHeight="1">
      <c r="A172" s="48" t="s">
        <v>2001</v>
      </c>
      <c r="B172" s="144" t="s">
        <v>151</v>
      </c>
      <c r="D172" s="144"/>
      <c r="E172" s="144"/>
      <c r="F172" s="144"/>
      <c r="G172" s="144"/>
      <c r="H172" s="144"/>
      <c r="M172" s="484" t="s">
        <v>2001</v>
      </c>
      <c r="N172" s="3161" t="s">
        <v>4633</v>
      </c>
      <c r="O172" s="3162"/>
      <c r="P172" s="1905" t="s">
        <v>1784</v>
      </c>
      <c r="Q172" s="1906"/>
    </row>
    <row r="173" spans="1:32" ht="12" customHeight="1">
      <c r="A173" s="48" t="s">
        <v>757</v>
      </c>
      <c r="B173" s="144" t="s">
        <v>688</v>
      </c>
      <c r="D173" s="144"/>
      <c r="E173" s="144"/>
      <c r="F173" s="144"/>
      <c r="G173" s="144"/>
      <c r="H173" s="144"/>
      <c r="J173" s="484" t="s">
        <v>757</v>
      </c>
      <c r="K173" s="3128" t="s">
        <v>4553</v>
      </c>
      <c r="L173" s="3129"/>
      <c r="M173" s="3129"/>
      <c r="N173" s="3129"/>
      <c r="O173" s="3129"/>
      <c r="P173" s="3130"/>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3011</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24" customHeight="1">
      <c r="A176" s="3131" t="s">
        <v>4725</v>
      </c>
      <c r="B176" s="3132"/>
      <c r="C176" s="3132"/>
      <c r="D176" s="3132"/>
      <c r="E176" s="3132"/>
      <c r="F176" s="3132"/>
      <c r="G176" s="3132"/>
      <c r="H176" s="3132"/>
      <c r="I176" s="3132"/>
      <c r="J176" s="3132"/>
      <c r="K176" s="3132"/>
      <c r="L176" s="3132"/>
      <c r="M176" s="3132"/>
      <c r="N176" s="3132"/>
      <c r="O176" s="3132"/>
      <c r="P176" s="3132"/>
      <c r="Q176" s="3133"/>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3071" t="s">
        <v>3011</v>
      </c>
      <c r="Q181" s="1261"/>
    </row>
    <row r="182" spans="1:31" ht="22.15" customHeight="1">
      <c r="A182" s="146" t="s">
        <v>2001</v>
      </c>
      <c r="B182" s="1892" t="s">
        <v>3663</v>
      </c>
      <c r="C182" s="1892"/>
      <c r="D182" s="1892"/>
      <c r="E182" s="1892"/>
      <c r="F182" s="1892"/>
      <c r="G182" s="1892"/>
      <c r="H182" s="1892"/>
      <c r="I182" s="1892"/>
      <c r="J182" s="1892"/>
      <c r="K182" s="1892"/>
      <c r="L182" s="1892"/>
      <c r="M182" s="1892"/>
      <c r="N182" s="1892"/>
      <c r="O182" s="166" t="s">
        <v>2001</v>
      </c>
      <c r="P182" s="3150" t="s">
        <v>4634</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50" t="s">
        <v>4634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t="s">
        <v>4634</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31" t="s">
        <v>4711</v>
      </c>
      <c r="B186" s="3132"/>
      <c r="C186" s="3132"/>
      <c r="D186" s="3132"/>
      <c r="E186" s="3132"/>
      <c r="F186" s="3132"/>
      <c r="G186" s="3132"/>
      <c r="H186" s="3132"/>
      <c r="I186" s="3132"/>
      <c r="J186" s="3132"/>
      <c r="K186" s="3132"/>
      <c r="L186" s="3132"/>
      <c r="M186" s="3132"/>
      <c r="N186" s="3132"/>
      <c r="O186" s="3132"/>
      <c r="P186" s="3132"/>
      <c r="Q186" s="3133"/>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50"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50" t="s">
        <v>4634</v>
      </c>
      <c r="Q198" s="564"/>
      <c r="AE198" s="487"/>
      <c r="AF198" s="487"/>
    </row>
    <row r="199" spans="1:32" s="137" customFormat="1" ht="21.75" customHeight="1">
      <c r="A199" s="146"/>
      <c r="C199" s="932"/>
      <c r="D199" s="166" t="s">
        <v>1562</v>
      </c>
      <c r="E199" s="1892" t="s">
        <v>3926</v>
      </c>
      <c r="F199" s="1892"/>
      <c r="G199" s="1892"/>
      <c r="H199" s="1892"/>
      <c r="I199" s="1892"/>
      <c r="J199" s="1892"/>
      <c r="K199" s="1892"/>
      <c r="L199" s="1892"/>
      <c r="M199" s="1892"/>
      <c r="N199" s="1892"/>
      <c r="O199" s="166" t="s">
        <v>1562</v>
      </c>
      <c r="P199" s="3150" t="s">
        <v>4634</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50"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11.45" customHeight="1">
      <c r="A203" s="3113" t="s">
        <v>4712</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4" t="s">
        <v>4561</v>
      </c>
      <c r="K208" s="3135"/>
      <c r="L208" s="3135"/>
      <c r="M208" s="3135"/>
      <c r="N208" s="3163"/>
      <c r="O208" s="68" t="s">
        <v>1750</v>
      </c>
      <c r="P208" s="2929" t="s">
        <v>3014</v>
      </c>
      <c r="Q208" s="561"/>
    </row>
    <row r="209" spans="1:31" ht="11.25" customHeight="1">
      <c r="A209" s="143"/>
      <c r="B209" s="145" t="s">
        <v>3779</v>
      </c>
      <c r="C209" s="107"/>
      <c r="D209" s="107"/>
      <c r="E209" s="107"/>
      <c r="F209" s="107"/>
      <c r="H209" s="68" t="s">
        <v>1751</v>
      </c>
      <c r="I209" s="53" t="s">
        <v>1608</v>
      </c>
      <c r="J209" s="3164" t="s">
        <v>4623</v>
      </c>
      <c r="K209" s="3165"/>
      <c r="L209" s="3165"/>
      <c r="M209" s="3165"/>
      <c r="N209" s="3166"/>
      <c r="O209" s="68" t="s">
        <v>1751</v>
      </c>
      <c r="P209" s="2928" t="s">
        <v>3011</v>
      </c>
      <c r="Q209" s="563"/>
    </row>
    <row r="210" spans="1:31" ht="11.45" customHeight="1">
      <c r="A210" s="3131" t="s">
        <v>4714</v>
      </c>
      <c r="B210" s="3132"/>
      <c r="C210" s="3132"/>
      <c r="D210" s="3132"/>
      <c r="E210" s="3132"/>
      <c r="F210" s="3132"/>
      <c r="G210" s="3132"/>
      <c r="H210" s="3132"/>
      <c r="I210" s="3132"/>
      <c r="J210" s="3132"/>
      <c r="K210" s="3132"/>
      <c r="L210" s="3132"/>
      <c r="M210" s="3132"/>
      <c r="N210" s="3132"/>
      <c r="O210" s="3132"/>
      <c r="P210" s="3132"/>
      <c r="Q210" s="3133"/>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4" t="s">
        <v>4623</v>
      </c>
      <c r="K218" s="3135"/>
      <c r="L218" s="3135"/>
      <c r="M218" s="3135"/>
      <c r="N218" s="3163"/>
      <c r="O218" s="68" t="s">
        <v>1458</v>
      </c>
      <c r="P218" s="2935" t="s">
        <v>3011</v>
      </c>
      <c r="Q218" s="562"/>
    </row>
    <row r="219" spans="1:31" ht="11.45" customHeight="1">
      <c r="A219" s="155"/>
      <c r="B219" s="1892"/>
      <c r="C219" s="1892"/>
      <c r="D219" s="1892"/>
      <c r="E219" s="1892"/>
      <c r="F219" s="1892"/>
      <c r="G219" s="1892"/>
      <c r="H219" s="68" t="s">
        <v>1751</v>
      </c>
      <c r="I219" s="53" t="s">
        <v>117</v>
      </c>
      <c r="J219" s="3164" t="s">
        <v>4623</v>
      </c>
      <c r="K219" s="3165"/>
      <c r="L219" s="3165"/>
      <c r="M219" s="3165"/>
      <c r="N219" s="3166"/>
      <c r="O219" s="68" t="s">
        <v>1751</v>
      </c>
      <c r="P219" s="2935" t="s">
        <v>3011</v>
      </c>
      <c r="Q219" s="562"/>
    </row>
    <row r="220" spans="1:31" ht="12" customHeight="1">
      <c r="A220" s="48" t="s">
        <v>757</v>
      </c>
      <c r="B220" s="53" t="s">
        <v>3933</v>
      </c>
      <c r="D220" s="53"/>
      <c r="E220" s="53"/>
      <c r="F220" s="53"/>
      <c r="G220" s="53"/>
      <c r="H220" s="53"/>
      <c r="I220" s="53"/>
      <c r="J220" s="53"/>
      <c r="K220" s="43"/>
      <c r="L220" s="53"/>
      <c r="M220" s="53"/>
      <c r="O220" s="484" t="s">
        <v>757</v>
      </c>
      <c r="P220" s="2935" t="s">
        <v>3014</v>
      </c>
      <c r="Q220" s="562"/>
    </row>
    <row r="221" spans="1:31" ht="12" customHeight="1">
      <c r="A221" s="48" t="s">
        <v>2131</v>
      </c>
      <c r="B221" s="53" t="s">
        <v>3934</v>
      </c>
      <c r="D221" s="53"/>
      <c r="E221" s="53"/>
      <c r="F221" s="53"/>
      <c r="G221" s="53"/>
      <c r="H221" s="53"/>
      <c r="I221" s="53"/>
      <c r="J221" s="53"/>
      <c r="K221" s="43"/>
      <c r="L221" s="53"/>
      <c r="M221" s="53"/>
      <c r="O221" s="484" t="s">
        <v>2131</v>
      </c>
      <c r="P221" s="2928" t="s">
        <v>3014</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3" t="s">
        <v>4713</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3014</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3000" t="s">
        <v>4635</v>
      </c>
      <c r="Q229" s="561"/>
    </row>
    <row r="230" spans="1:32" ht="11.45" customHeight="1">
      <c r="A230" s="48"/>
      <c r="B230" s="68" t="s">
        <v>1750</v>
      </c>
      <c r="C230" s="53" t="s">
        <v>1946</v>
      </c>
      <c r="E230" s="53"/>
      <c r="F230" s="53"/>
      <c r="G230" s="53"/>
      <c r="H230" s="53"/>
      <c r="I230" s="43"/>
      <c r="J230" s="68" t="s">
        <v>1498</v>
      </c>
      <c r="K230" s="3134" t="s">
        <v>537</v>
      </c>
      <c r="L230" s="3163"/>
      <c r="Q230" s="562"/>
    </row>
    <row r="231" spans="1:32" ht="11.45" customHeight="1">
      <c r="A231" s="48"/>
      <c r="B231" s="68" t="s">
        <v>1751</v>
      </c>
      <c r="C231" s="956" t="s">
        <v>2741</v>
      </c>
      <c r="E231" s="956"/>
      <c r="F231" s="956"/>
      <c r="G231" s="956"/>
      <c r="H231" s="956"/>
      <c r="I231" s="43"/>
      <c r="J231" s="68" t="s">
        <v>1499</v>
      </c>
      <c r="K231" s="3167" t="s">
        <v>4636</v>
      </c>
      <c r="L231" s="3168"/>
      <c r="M231" s="3169" t="s">
        <v>2742</v>
      </c>
      <c r="N231" s="3170"/>
      <c r="O231" s="3170"/>
      <c r="P231" s="3171"/>
      <c r="Q231" s="562"/>
    </row>
    <row r="232" spans="1:32" ht="11.45" customHeight="1">
      <c r="A232" s="48"/>
      <c r="B232" s="68" t="s">
        <v>1752</v>
      </c>
      <c r="C232" s="956" t="s">
        <v>563</v>
      </c>
      <c r="E232" s="956"/>
      <c r="F232" s="956"/>
      <c r="G232" s="956"/>
      <c r="H232" s="956"/>
      <c r="I232" s="43"/>
      <c r="J232" s="68" t="s">
        <v>1500</v>
      </c>
      <c r="K232" s="3164" t="s">
        <v>4637</v>
      </c>
      <c r="L232" s="3165"/>
      <c r="M232" s="3166"/>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4635</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72" t="s">
        <v>4638</v>
      </c>
      <c r="D236" s="3173"/>
      <c r="E236" s="3173"/>
      <c r="F236" s="3173"/>
      <c r="G236" s="3174"/>
      <c r="H236" s="568"/>
      <c r="I236" s="569"/>
      <c r="J236" s="68" t="s">
        <v>1752</v>
      </c>
      <c r="K236" s="3172" t="s">
        <v>4639</v>
      </c>
      <c r="L236" s="3173"/>
      <c r="M236" s="3173"/>
      <c r="N236" s="3173"/>
      <c r="O236" s="3174"/>
      <c r="P236" s="561"/>
      <c r="Q236" s="569"/>
      <c r="AE236" s="55"/>
      <c r="AF236" s="55"/>
    </row>
    <row r="237" spans="1:32" s="44" customFormat="1" ht="11.45" customHeight="1">
      <c r="A237" s="52"/>
      <c r="B237" s="68" t="s">
        <v>1751</v>
      </c>
      <c r="C237" s="3175" t="s">
        <v>2119</v>
      </c>
      <c r="D237" s="3176"/>
      <c r="E237" s="3176"/>
      <c r="F237" s="3176"/>
      <c r="G237" s="3177"/>
      <c r="H237" s="570"/>
      <c r="I237" s="571"/>
      <c r="J237" s="68" t="s">
        <v>2381</v>
      </c>
      <c r="K237" s="3175"/>
      <c r="L237" s="3176"/>
      <c r="M237" s="3176"/>
      <c r="N237" s="3176"/>
      <c r="O237" s="317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4635</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2826</v>
      </c>
      <c r="E240" s="956"/>
      <c r="F240" s="956"/>
      <c r="L240" s="34"/>
      <c r="M240" s="34"/>
      <c r="O240" s="68" t="s">
        <v>1751</v>
      </c>
      <c r="P240" s="2935" t="s">
        <v>3011</v>
      </c>
      <c r="Q240" s="562"/>
    </row>
    <row r="241" spans="1:31" ht="11.45" customHeight="1">
      <c r="B241" s="68" t="s">
        <v>1752</v>
      </c>
      <c r="C241" s="956" t="s">
        <v>2827</v>
      </c>
      <c r="E241" s="956"/>
      <c r="F241" s="956"/>
      <c r="G241" s="956"/>
      <c r="H241" s="956"/>
      <c r="I241" s="43"/>
      <c r="J241" s="34"/>
      <c r="K241" s="43"/>
      <c r="L241" s="34"/>
      <c r="M241" s="34"/>
      <c r="O241" s="68" t="s">
        <v>1752</v>
      </c>
      <c r="P241" s="2935" t="s">
        <v>3011</v>
      </c>
      <c r="Q241" s="562"/>
    </row>
    <row r="242" spans="1:31" ht="11.45" customHeight="1">
      <c r="A242" s="48"/>
      <c r="B242" s="68" t="s">
        <v>2381</v>
      </c>
      <c r="C242" s="956" t="s">
        <v>2828</v>
      </c>
      <c r="E242" s="956"/>
      <c r="F242" s="956"/>
      <c r="G242" s="956"/>
      <c r="H242" s="956"/>
      <c r="I242" s="43"/>
      <c r="J242" s="34"/>
      <c r="K242" s="43"/>
      <c r="L242" s="34"/>
      <c r="M242" s="34"/>
      <c r="O242" s="68" t="s">
        <v>2381</v>
      </c>
      <c r="P242" s="2935" t="s">
        <v>3011</v>
      </c>
      <c r="Q242" s="562"/>
    </row>
    <row r="243" spans="1:31" ht="11.45" customHeight="1">
      <c r="A243" s="48"/>
      <c r="B243" s="68" t="s">
        <v>1561</v>
      </c>
      <c r="C243" s="956" t="s">
        <v>2829</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2817</v>
      </c>
      <c r="P244" s="2935" t="s">
        <v>3011</v>
      </c>
      <c r="Q244" s="562"/>
    </row>
    <row r="245" spans="1:31" ht="11.45" customHeight="1">
      <c r="A245" s="48"/>
      <c r="B245" s="68"/>
      <c r="C245" s="53" t="s">
        <v>1501</v>
      </c>
      <c r="E245" s="53"/>
      <c r="F245" s="53"/>
      <c r="G245" s="53"/>
      <c r="H245" s="53"/>
      <c r="I245" s="43"/>
      <c r="J245" s="34"/>
      <c r="K245" s="43"/>
      <c r="L245" s="34"/>
      <c r="M245" s="34"/>
      <c r="O245" s="484" t="s">
        <v>2818</v>
      </c>
      <c r="P245" s="2928"/>
      <c r="Q245" s="563"/>
    </row>
    <row r="246" spans="1:31" ht="12" customHeight="1">
      <c r="A246" s="48" t="s">
        <v>2131</v>
      </c>
      <c r="B246" s="53" t="s">
        <v>3688</v>
      </c>
      <c r="C246" s="53"/>
      <c r="E246" s="53"/>
      <c r="F246" s="53"/>
      <c r="G246" s="53"/>
      <c r="H246" s="53"/>
      <c r="I246" s="53"/>
      <c r="J246" s="53"/>
      <c r="K246" s="43"/>
      <c r="L246" s="53"/>
      <c r="M246" s="53"/>
      <c r="O246" s="484" t="s">
        <v>2131</v>
      </c>
      <c r="P246" s="2929" t="s">
        <v>4635</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3935</v>
      </c>
      <c r="E248" s="43"/>
      <c r="F248" s="43"/>
      <c r="G248" s="956"/>
      <c r="H248" s="956"/>
      <c r="I248" s="43"/>
      <c r="J248" s="956"/>
      <c r="K248" s="43"/>
      <c r="L248" s="956"/>
      <c r="M248" s="956"/>
      <c r="O248" s="68" t="s">
        <v>1751</v>
      </c>
      <c r="P248" s="2928" t="s">
        <v>3011</v>
      </c>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11.45" customHeight="1">
      <c r="A250" s="3131" t="s">
        <v>4715</v>
      </c>
      <c r="B250" s="3132"/>
      <c r="C250" s="3132"/>
      <c r="D250" s="3132"/>
      <c r="E250" s="3132"/>
      <c r="F250" s="3132"/>
      <c r="G250" s="3132"/>
      <c r="H250" s="3132"/>
      <c r="I250" s="3132"/>
      <c r="J250" s="3132"/>
      <c r="K250" s="3132"/>
      <c r="L250" s="3132"/>
      <c r="M250" s="3132"/>
      <c r="N250" s="3132"/>
      <c r="O250" s="3132"/>
      <c r="P250" s="3132"/>
      <c r="Q250" s="313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1784</v>
      </c>
      <c r="L256" s="3129"/>
      <c r="M256" s="3129"/>
      <c r="N256" s="3129"/>
      <c r="O256" s="3130"/>
      <c r="P256" s="1933" t="s">
        <v>1784</v>
      </c>
      <c r="Q256" s="1934"/>
    </row>
    <row r="257" spans="1:32" ht="11.45" customHeight="1">
      <c r="A257" s="48" t="s">
        <v>2001</v>
      </c>
      <c r="B257" s="53" t="s">
        <v>2830</v>
      </c>
      <c r="D257" s="53"/>
      <c r="E257" s="53"/>
      <c r="F257" s="53"/>
      <c r="J257" s="484" t="s">
        <v>2001</v>
      </c>
      <c r="K257" s="3178"/>
      <c r="L257" s="3179"/>
      <c r="M257" s="3179"/>
      <c r="N257" s="3179"/>
      <c r="O257" s="3180"/>
      <c r="P257" s="1935"/>
      <c r="Q257" s="1936"/>
    </row>
    <row r="258" spans="1:32" s="152" customFormat="1" ht="11.45" customHeight="1">
      <c r="A258" s="48"/>
      <c r="B258" s="53" t="s">
        <v>1960</v>
      </c>
      <c r="D258" s="53"/>
      <c r="E258" s="53"/>
      <c r="F258" s="53"/>
      <c r="K258" s="3164"/>
      <c r="L258" s="3165"/>
      <c r="M258" s="3165"/>
      <c r="N258" s="3165"/>
      <c r="O258" s="3166"/>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3786</v>
      </c>
      <c r="D260" s="53"/>
      <c r="E260" s="53"/>
      <c r="F260" s="53"/>
      <c r="M260" s="37"/>
      <c r="N260" s="1091"/>
      <c r="O260" s="484" t="s">
        <v>757</v>
      </c>
      <c r="P260" s="2929"/>
      <c r="Q260" s="561"/>
      <c r="AE260" s="488"/>
      <c r="AF260" s="488"/>
    </row>
    <row r="261" spans="1:32" s="152" customFormat="1" ht="11.45" customHeight="1">
      <c r="A261" s="48"/>
      <c r="B261" s="53" t="s">
        <v>3785</v>
      </c>
      <c r="D261" s="53"/>
      <c r="E261" s="53"/>
      <c r="F261" s="53"/>
      <c r="K261" s="3128"/>
      <c r="L261" s="3129"/>
      <c r="M261" s="3129"/>
      <c r="N261" s="3129"/>
      <c r="O261" s="3130"/>
      <c r="P261" s="1931"/>
      <c r="Q261" s="1932"/>
      <c r="AE261" s="488"/>
      <c r="AF261" s="488"/>
    </row>
    <row r="262" spans="1:32" s="152" customFormat="1" ht="11.45" customHeight="1">
      <c r="A262" s="48" t="s">
        <v>2131</v>
      </c>
      <c r="B262" s="53" t="s">
        <v>3936</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3787</v>
      </c>
      <c r="C263" s="1892"/>
      <c r="D263" s="1892"/>
      <c r="E263" s="1892"/>
      <c r="F263" s="1892"/>
      <c r="G263" s="1892"/>
      <c r="H263" s="446" t="s">
        <v>4162</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4163</v>
      </c>
      <c r="K264" s="97"/>
      <c r="M264" s="37"/>
      <c r="N264" s="1091"/>
      <c r="O264" s="68" t="s">
        <v>1751</v>
      </c>
      <c r="P264" s="2935"/>
      <c r="Q264" s="562"/>
      <c r="AE264" s="488"/>
      <c r="AF264" s="488"/>
    </row>
    <row r="265" spans="1:32" s="152" customFormat="1" ht="11.45" customHeight="1">
      <c r="A265" s="48"/>
      <c r="B265" s="53"/>
      <c r="D265" s="53"/>
      <c r="E265" s="53"/>
      <c r="F265" s="53"/>
      <c r="G265" s="53"/>
      <c r="H265" s="56" t="s">
        <v>4164</v>
      </c>
      <c r="K265" s="97"/>
      <c r="M265" s="37"/>
      <c r="N265" s="1091"/>
      <c r="O265" s="68" t="s">
        <v>1752</v>
      </c>
      <c r="P265" s="2935"/>
      <c r="Q265" s="562"/>
      <c r="AE265" s="488"/>
      <c r="AF265" s="488"/>
    </row>
    <row r="266" spans="1:32" s="152" customFormat="1" ht="11.45" customHeight="1">
      <c r="A266" s="48"/>
      <c r="B266" s="53"/>
      <c r="D266" s="53"/>
      <c r="E266" s="53"/>
      <c r="F266" s="53"/>
      <c r="G266" s="53"/>
      <c r="H266" s="56" t="s">
        <v>4165</v>
      </c>
      <c r="K266" s="97"/>
      <c r="M266" s="37"/>
      <c r="N266" s="1091"/>
      <c r="O266" s="484" t="s">
        <v>2381</v>
      </c>
      <c r="P266" s="2928"/>
      <c r="Q266" s="563"/>
      <c r="AE266" s="488"/>
      <c r="AF266" s="488"/>
    </row>
    <row r="267" spans="1:32" s="152" customFormat="1" ht="22.15" customHeight="1">
      <c r="A267" s="146" t="s">
        <v>1748</v>
      </c>
      <c r="B267" s="1892" t="s">
        <v>3937</v>
      </c>
      <c r="C267" s="1892"/>
      <c r="D267" s="1892"/>
      <c r="E267" s="1892"/>
      <c r="F267" s="1892"/>
      <c r="G267" s="1892"/>
      <c r="H267" s="1892"/>
      <c r="I267" s="1892"/>
      <c r="J267" s="1892"/>
      <c r="K267" s="1892"/>
      <c r="L267" s="1892"/>
      <c r="M267" s="1892"/>
      <c r="N267" s="1892"/>
      <c r="O267" s="166" t="s">
        <v>1748</v>
      </c>
      <c r="P267" s="3181"/>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31" t="s">
        <v>4640</v>
      </c>
      <c r="B269" s="3132"/>
      <c r="C269" s="3132"/>
      <c r="D269" s="3132"/>
      <c r="E269" s="3132"/>
      <c r="F269" s="3132"/>
      <c r="G269" s="3132"/>
      <c r="H269" s="3132"/>
      <c r="I269" s="3132"/>
      <c r="J269" s="3132"/>
      <c r="K269" s="3132"/>
      <c r="L269" s="3132"/>
      <c r="M269" s="3132"/>
      <c r="N269" s="3132"/>
      <c r="O269" s="3132"/>
      <c r="P269" s="3132"/>
      <c r="Q269" s="3133"/>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3938</v>
      </c>
      <c r="C275" s="1892"/>
      <c r="D275" s="1892"/>
      <c r="E275" s="1892"/>
      <c r="F275" s="1892"/>
      <c r="G275" s="1892"/>
      <c r="H275" s="1892"/>
      <c r="I275" s="1892"/>
      <c r="J275" s="1892"/>
      <c r="K275" s="1892"/>
      <c r="L275" s="1892"/>
      <c r="M275" s="1892"/>
      <c r="N275" s="1892"/>
      <c r="O275" s="166" t="s">
        <v>1999</v>
      </c>
      <c r="P275" s="3071" t="s">
        <v>3011</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928" t="s">
        <v>3011</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26.25" customHeight="1">
      <c r="A282" s="3113" t="s">
        <v>4726</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4148</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1" t="s">
        <v>4635</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4" t="s">
        <v>4635</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3131" t="s">
        <v>4645</v>
      </c>
      <c r="B290" s="3132"/>
      <c r="C290" s="3132"/>
      <c r="D290" s="3132"/>
      <c r="E290" s="3132"/>
      <c r="F290" s="3132"/>
      <c r="G290" s="3132"/>
      <c r="H290" s="3132"/>
      <c r="I290" s="3132"/>
      <c r="J290" s="3132"/>
      <c r="K290" s="3132"/>
      <c r="L290" s="3132"/>
      <c r="M290" s="3132"/>
      <c r="N290" s="3132"/>
      <c r="O290" s="3132"/>
      <c r="P290" s="3132"/>
      <c r="Q290" s="313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4149</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4168</v>
      </c>
    </row>
    <row r="295" spans="1:33" s="152" customFormat="1" ht="44.25" customHeight="1">
      <c r="A295" s="146"/>
      <c r="B295" s="154" t="s">
        <v>1750</v>
      </c>
      <c r="C295" s="1892" t="s">
        <v>3940</v>
      </c>
      <c r="D295" s="1892"/>
      <c r="E295" s="1892"/>
      <c r="F295" s="1892"/>
      <c r="G295" s="1892"/>
      <c r="H295" s="1892"/>
      <c r="I295" s="1892"/>
      <c r="J295" s="1892"/>
      <c r="K295" s="1892"/>
      <c r="L295" s="1892"/>
      <c r="M295" s="1892"/>
      <c r="N295" s="1892"/>
      <c r="O295" s="166" t="s">
        <v>2744</v>
      </c>
      <c r="P295" s="3071" t="s">
        <v>3011</v>
      </c>
      <c r="Q295" s="1261"/>
      <c r="AE295" s="488"/>
      <c r="AF295" s="488"/>
    </row>
    <row r="296" spans="1:33" s="429" customFormat="1" ht="12" customHeight="1">
      <c r="A296" s="146"/>
      <c r="B296" s="154" t="s">
        <v>1751</v>
      </c>
      <c r="C296" s="1892" t="s">
        <v>3941</v>
      </c>
      <c r="D296" s="1892"/>
      <c r="E296" s="1892"/>
      <c r="F296" s="1892"/>
      <c r="G296" s="1892"/>
      <c r="H296" s="1892"/>
      <c r="I296" s="1892"/>
      <c r="J296" s="1892"/>
      <c r="K296" s="1892"/>
      <c r="L296" s="1892"/>
      <c r="M296" s="1892"/>
      <c r="N296" s="1892"/>
      <c r="O296" s="154" t="s">
        <v>1751</v>
      </c>
      <c r="P296" s="3150" t="s">
        <v>3011</v>
      </c>
      <c r="Q296" s="564"/>
      <c r="AE296" s="489"/>
      <c r="AF296" s="489"/>
    </row>
    <row r="297" spans="1:33" s="429" customFormat="1" ht="21.75" customHeight="1">
      <c r="A297" s="146"/>
      <c r="B297" s="166" t="s">
        <v>1752</v>
      </c>
      <c r="C297" s="1892" t="s">
        <v>3939</v>
      </c>
      <c r="D297" s="1892"/>
      <c r="E297" s="1892"/>
      <c r="F297" s="1892"/>
      <c r="G297" s="1892"/>
      <c r="H297" s="1892"/>
      <c r="I297" s="1892"/>
      <c r="J297" s="1892"/>
      <c r="K297" s="1892"/>
      <c r="L297" s="1892"/>
      <c r="M297" s="1892"/>
      <c r="N297" s="1892"/>
      <c r="O297" s="166" t="s">
        <v>1752</v>
      </c>
      <c r="P297" s="3094" t="s">
        <v>3011</v>
      </c>
      <c r="Q297" s="1282"/>
      <c r="AE297" s="489"/>
      <c r="AF297" s="489"/>
    </row>
    <row r="298" spans="1:33" s="97" customFormat="1" ht="12.75" customHeight="1">
      <c r="A298" s="15" t="s">
        <v>2001</v>
      </c>
      <c r="B298" s="1586"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3821</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3820</v>
      </c>
      <c r="P300" s="315"/>
    </row>
    <row r="301" spans="1:33" s="305" customFormat="1" ht="13.15" customHeight="1">
      <c r="A301" s="317"/>
      <c r="C301" s="1892"/>
      <c r="D301" s="1892"/>
      <c r="E301" s="1892"/>
      <c r="F301" s="1892"/>
      <c r="G301" s="1892"/>
      <c r="H301" s="1892"/>
      <c r="I301" s="53" t="s">
        <v>4169</v>
      </c>
      <c r="K301" s="3182">
        <v>4</v>
      </c>
      <c r="L301" s="1086" t="str">
        <f>IF(K301&lt;M301,"Check!!!","")</f>
        <v/>
      </c>
      <c r="M301" s="1087">
        <f>ROUNDUP('Part VI-Revenues &amp; Expenses'!$O$62*'Part VIII-Threshold Criteria'!N301,0)</f>
        <v>4</v>
      </c>
      <c r="N301" s="1092">
        <f>'DCA Underwriting Assumptions'!$Q$136</f>
        <v>0.05</v>
      </c>
      <c r="O301" s="484" t="s">
        <v>3664</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4170</v>
      </c>
      <c r="J303" s="305"/>
      <c r="K303" s="3182">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4171</v>
      </c>
      <c r="J305" s="305"/>
      <c r="K305" s="3182">
        <v>2</v>
      </c>
      <c r="L305" s="1086" t="str">
        <f>IF(K305&lt;M305,"Check!!!","")</f>
        <v/>
      </c>
      <c r="M305" s="1087">
        <f>ROUNDUP('Part VI-Revenues &amp; Expenses'!$O$62*'Part VIII-Threshold Criteria'!N305,0)</f>
        <v>2</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3907</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7" t="s">
        <v>3011</v>
      </c>
      <c r="Q309" s="1262"/>
      <c r="AE309" s="490"/>
      <c r="AF309" s="490"/>
    </row>
    <row r="310" spans="1:33" s="97" customFormat="1" ht="11.25" customHeight="1">
      <c r="B310" s="405" t="s">
        <v>3667</v>
      </c>
      <c r="D310" s="405"/>
      <c r="E310" s="405"/>
      <c r="F310" s="405"/>
      <c r="G310" s="405"/>
      <c r="H310" s="405"/>
      <c r="I310" s="405" t="s">
        <v>3788</v>
      </c>
      <c r="J310" s="405"/>
      <c r="K310" s="405"/>
      <c r="L310" s="3183" t="s">
        <v>4727</v>
      </c>
      <c r="M310" s="3184"/>
      <c r="N310" s="3185"/>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1"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50"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50" t="s">
        <v>3011</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4" t="s">
        <v>3011</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31" t="s">
        <v>4646</v>
      </c>
      <c r="B316" s="3132"/>
      <c r="C316" s="3132"/>
      <c r="D316" s="3132"/>
      <c r="E316" s="3132"/>
      <c r="F316" s="3132"/>
      <c r="G316" s="3132"/>
      <c r="H316" s="3132"/>
      <c r="I316" s="3132"/>
      <c r="J316" s="3132"/>
      <c r="K316" s="3132"/>
      <c r="L316" s="3132"/>
      <c r="M316" s="3132"/>
      <c r="N316" s="3132"/>
      <c r="O316" s="3132"/>
      <c r="P316" s="3132"/>
      <c r="Q316" s="313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4147</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6"/>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7" t="s">
        <v>3943</v>
      </c>
      <c r="H325" s="3188"/>
      <c r="I325" s="3188"/>
      <c r="J325" s="3188"/>
      <c r="K325" s="3188"/>
      <c r="L325" s="3188"/>
      <c r="M325" s="3188"/>
      <c r="N325" s="3189"/>
      <c r="O325" s="224" t="s">
        <v>1750</v>
      </c>
      <c r="P325" s="3071" t="s">
        <v>3011</v>
      </c>
      <c r="Q325" s="1261"/>
      <c r="BFO325" s="152" t="s">
        <v>2745</v>
      </c>
    </row>
    <row r="326" spans="1:256 1523:1523" ht="23.25" customHeight="1">
      <c r="B326" s="220" t="s">
        <v>1751</v>
      </c>
      <c r="C326" s="1892" t="s">
        <v>1142</v>
      </c>
      <c r="D326" s="1892"/>
      <c r="E326" s="1892"/>
      <c r="F326" s="1899"/>
      <c r="G326" s="3175" t="s">
        <v>3791</v>
      </c>
      <c r="H326" s="3190"/>
      <c r="I326" s="3190"/>
      <c r="J326" s="3190"/>
      <c r="K326" s="3190"/>
      <c r="L326" s="3190"/>
      <c r="M326" s="3190"/>
      <c r="N326" s="3191"/>
      <c r="O326" s="224" t="s">
        <v>1751</v>
      </c>
      <c r="P326" s="3094"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72"/>
      <c r="D329" s="3173"/>
      <c r="E329" s="3173"/>
      <c r="F329" s="3173"/>
      <c r="G329" s="3173"/>
      <c r="H329" s="3173"/>
      <c r="I329" s="3173"/>
      <c r="J329" s="3173"/>
      <c r="K329" s="3173"/>
      <c r="L329" s="3173"/>
      <c r="M329" s="3173"/>
      <c r="N329" s="3174"/>
      <c r="O329" s="224" t="s">
        <v>1750</v>
      </c>
      <c r="P329" s="3071"/>
      <c r="Q329" s="1261"/>
      <c r="AE329" s="487"/>
      <c r="AF329" s="487"/>
    </row>
    <row r="330" spans="1:256 1523:1523" s="137" customFormat="1" ht="11.25" customHeight="1">
      <c r="A330" s="148"/>
      <c r="B330" s="220" t="s">
        <v>1751</v>
      </c>
      <c r="C330" s="3175"/>
      <c r="D330" s="3176"/>
      <c r="E330" s="3176"/>
      <c r="F330" s="3176"/>
      <c r="G330" s="3176"/>
      <c r="H330" s="3176"/>
      <c r="I330" s="3176"/>
      <c r="J330" s="3176"/>
      <c r="K330" s="3176"/>
      <c r="L330" s="3176"/>
      <c r="M330" s="3176"/>
      <c r="N330" s="3177"/>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24" customHeight="1">
      <c r="A333" s="3131" t="s">
        <v>4641</v>
      </c>
      <c r="B333" s="3132"/>
      <c r="C333" s="3132"/>
      <c r="D333" s="3132"/>
      <c r="E333" s="3132"/>
      <c r="F333" s="3132"/>
      <c r="G333" s="3132"/>
      <c r="H333" s="3132"/>
      <c r="I333" s="3132"/>
      <c r="J333" s="3132"/>
      <c r="K333" s="3132"/>
      <c r="L333" s="3132"/>
      <c r="M333" s="3132"/>
      <c r="N333" s="3132"/>
      <c r="O333" s="3132"/>
      <c r="P333" s="3132"/>
      <c r="Q333" s="313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4150</v>
      </c>
      <c r="B336" s="1586" t="s">
        <v>4189</v>
      </c>
      <c r="C336" s="1586"/>
      <c r="D336" s="1592"/>
      <c r="E336" s="1592"/>
      <c r="F336" s="1592"/>
      <c r="G336" s="1592"/>
      <c r="H336" s="1592"/>
      <c r="O336" s="136" t="s">
        <v>1881</v>
      </c>
      <c r="P336" s="1897"/>
      <c r="Q336" s="1904"/>
    </row>
    <row r="337" spans="1:31" ht="11.45" customHeight="1">
      <c r="A337" s="48" t="s">
        <v>1999</v>
      </c>
      <c r="B337" s="56" t="s">
        <v>3945</v>
      </c>
      <c r="O337" s="166" t="s">
        <v>1999</v>
      </c>
      <c r="P337" s="2999" t="s">
        <v>3011</v>
      </c>
      <c r="Q337" s="560"/>
    </row>
    <row r="338" spans="1:31" ht="11.45" customHeight="1">
      <c r="A338" s="146" t="s">
        <v>2001</v>
      </c>
      <c r="B338" s="56" t="s">
        <v>4134</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3870</v>
      </c>
      <c r="O340" s="484" t="s">
        <v>2131</v>
      </c>
      <c r="P340" s="2928" t="s">
        <v>3014</v>
      </c>
      <c r="Q340" s="563"/>
    </row>
    <row r="341" spans="1:31" ht="11.45" customHeight="1">
      <c r="A341" s="146" t="s">
        <v>1748</v>
      </c>
      <c r="B341" s="56" t="s">
        <v>2903</v>
      </c>
      <c r="N341" s="166" t="s">
        <v>1748</v>
      </c>
      <c r="O341" s="3192" t="s">
        <v>3864</v>
      </c>
      <c r="P341" s="3193"/>
      <c r="Q341" s="3194"/>
    </row>
    <row r="342" spans="1:31" ht="11.45" customHeight="1">
      <c r="A342" s="146" t="s">
        <v>1749</v>
      </c>
      <c r="B342" s="425" t="s">
        <v>2367</v>
      </c>
      <c r="N342" s="166" t="s">
        <v>1749</v>
      </c>
      <c r="O342" s="1923" t="s">
        <v>2904</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113" t="s">
        <v>4716</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4151</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3879</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892" t="s">
        <v>4135</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31" t="s">
        <v>4647</v>
      </c>
      <c r="B352" s="3132"/>
      <c r="C352" s="3132"/>
      <c r="D352" s="3132"/>
      <c r="E352" s="3132"/>
      <c r="F352" s="3132"/>
      <c r="G352" s="3132"/>
      <c r="H352" s="3132"/>
      <c r="I352" s="3132"/>
      <c r="J352" s="3132"/>
      <c r="K352" s="3132"/>
      <c r="L352" s="3132"/>
      <c r="M352" s="3132"/>
      <c r="N352" s="3132"/>
      <c r="O352" s="3132"/>
      <c r="P352" s="3132"/>
      <c r="Q352" s="3133"/>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4154</v>
      </c>
      <c r="B356" s="4" t="s">
        <v>4121</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4122</v>
      </c>
      <c r="D357" s="155"/>
      <c r="E357" s="155"/>
      <c r="F357" s="155"/>
      <c r="G357" s="155"/>
      <c r="H357" s="484" t="s">
        <v>1999</v>
      </c>
      <c r="I357" s="3128" t="s">
        <v>4569</v>
      </c>
      <c r="J357" s="3129"/>
      <c r="K357" s="3129"/>
      <c r="L357" s="3129"/>
      <c r="M357" s="3129"/>
      <c r="N357" s="3129"/>
      <c r="O357" s="3129"/>
      <c r="P357" s="3130"/>
      <c r="Q357" s="559"/>
    </row>
    <row r="358" spans="1:32" ht="10.5" customHeight="1">
      <c r="A358" s="146" t="s">
        <v>2001</v>
      </c>
      <c r="B358" s="139" t="s">
        <v>4123</v>
      </c>
      <c r="D358" s="155"/>
      <c r="E358" s="155"/>
      <c r="F358" s="155"/>
      <c r="G358" s="155"/>
      <c r="H358" s="166" t="s">
        <v>2001</v>
      </c>
      <c r="I358" s="3128" t="s">
        <v>4728</v>
      </c>
      <c r="J358" s="3129"/>
      <c r="K358" s="3129"/>
      <c r="L358" s="3129"/>
      <c r="M358" s="3129"/>
      <c r="N358" s="3129"/>
      <c r="O358" s="3129"/>
      <c r="P358" s="3130"/>
      <c r="Q358" s="559"/>
    </row>
    <row r="359" spans="1:32" ht="21.75" customHeight="1">
      <c r="A359" s="146" t="s">
        <v>757</v>
      </c>
      <c r="B359" s="1920" t="s">
        <v>4113</v>
      </c>
      <c r="C359" s="1920"/>
      <c r="D359" s="1920"/>
      <c r="E359" s="1920"/>
      <c r="F359" s="1920"/>
      <c r="G359" s="1920"/>
      <c r="H359" s="1920"/>
      <c r="I359" s="1920"/>
      <c r="J359" s="1920"/>
      <c r="K359" s="1920"/>
      <c r="L359" s="1920"/>
      <c r="M359" s="1920"/>
      <c r="N359" s="1920"/>
      <c r="O359" s="166" t="s">
        <v>757</v>
      </c>
      <c r="P359" s="3102" t="s">
        <v>3011</v>
      </c>
      <c r="Q359" s="1261"/>
    </row>
    <row r="360" spans="1:32" ht="21.75" customHeight="1">
      <c r="A360" s="146" t="s">
        <v>2131</v>
      </c>
      <c r="B360" s="1892" t="s">
        <v>4114</v>
      </c>
      <c r="C360" s="1892"/>
      <c r="D360" s="1892"/>
      <c r="E360" s="1892"/>
      <c r="F360" s="1892"/>
      <c r="G360" s="1892"/>
      <c r="H360" s="1892"/>
      <c r="I360" s="1892"/>
      <c r="J360" s="1892"/>
      <c r="K360" s="1892"/>
      <c r="L360" s="1892"/>
      <c r="M360" s="1892"/>
      <c r="N360" s="1892"/>
      <c r="O360" s="484" t="s">
        <v>2131</v>
      </c>
      <c r="P360" s="3150" t="s">
        <v>3011</v>
      </c>
      <c r="Q360" s="564"/>
    </row>
    <row r="361" spans="1:32" ht="10.5" customHeight="1">
      <c r="A361" s="146" t="s">
        <v>1748</v>
      </c>
      <c r="B361" s="53" t="s">
        <v>4115</v>
      </c>
      <c r="D361" s="53"/>
      <c r="E361" s="53"/>
      <c r="F361" s="53"/>
      <c r="G361" s="53"/>
      <c r="H361" s="53"/>
      <c r="I361" s="53"/>
      <c r="J361" s="53"/>
      <c r="K361" s="53"/>
      <c r="L361" s="53"/>
      <c r="M361" s="53"/>
      <c r="O361" s="166" t="s">
        <v>1748</v>
      </c>
      <c r="P361" s="2935" t="s">
        <v>3011</v>
      </c>
      <c r="Q361" s="562"/>
    </row>
    <row r="362" spans="1:32" s="137" customFormat="1" ht="21.75" customHeight="1">
      <c r="A362" s="146" t="s">
        <v>1749</v>
      </c>
      <c r="B362" s="1892" t="s">
        <v>4116</v>
      </c>
      <c r="C362" s="1892"/>
      <c r="D362" s="1892"/>
      <c r="E362" s="1892"/>
      <c r="F362" s="1892"/>
      <c r="G362" s="1892"/>
      <c r="H362" s="1892"/>
      <c r="I362" s="1892"/>
      <c r="J362" s="1892"/>
      <c r="K362" s="1892"/>
      <c r="L362" s="1892"/>
      <c r="M362" s="1892"/>
      <c r="N362" s="1892"/>
      <c r="O362" s="166" t="s">
        <v>1749</v>
      </c>
      <c r="P362" s="3195" t="s">
        <v>3011</v>
      </c>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71" t="s">
        <v>3011</v>
      </c>
      <c r="Q363" s="1261"/>
      <c r="AE363" s="487"/>
      <c r="AF363" s="487"/>
    </row>
    <row r="364" spans="1:32" s="137" customFormat="1" ht="10.5" customHeight="1">
      <c r="C364" s="932" t="s">
        <v>3859</v>
      </c>
      <c r="E364" s="1592"/>
      <c r="F364" s="1592"/>
      <c r="G364" s="1592"/>
      <c r="H364" s="1592"/>
      <c r="I364" s="1592"/>
      <c r="J364" s="1592"/>
      <c r="K364" s="1592"/>
      <c r="L364" s="1592"/>
      <c r="M364" s="1592"/>
      <c r="N364" s="1592"/>
      <c r="P364" s="3094"/>
      <c r="Q364" s="1282"/>
      <c r="AE364" s="487"/>
      <c r="AF364" s="487"/>
    </row>
    <row r="365" spans="1:32" ht="21.75" customHeight="1">
      <c r="A365" s="146" t="s">
        <v>3392</v>
      </c>
      <c r="B365" s="1892" t="s">
        <v>4118</v>
      </c>
      <c r="C365" s="1892"/>
      <c r="D365" s="1892"/>
      <c r="E365" s="1892"/>
      <c r="F365" s="1892"/>
      <c r="G365" s="1892"/>
      <c r="H365" s="1892"/>
      <c r="I365" s="1892"/>
      <c r="J365" s="1892"/>
      <c r="K365" s="1892"/>
      <c r="L365" s="1892"/>
      <c r="M365" s="1892"/>
      <c r="N365" s="1892"/>
      <c r="O365" s="166" t="s">
        <v>3392</v>
      </c>
      <c r="P365" s="3071" t="s">
        <v>3011</v>
      </c>
      <c r="Q365" s="1261"/>
    </row>
    <row r="366" spans="1:32" ht="33" customHeight="1">
      <c r="A366" s="146" t="s">
        <v>622</v>
      </c>
      <c r="B366" s="1892" t="s">
        <v>4119</v>
      </c>
      <c r="C366" s="1892"/>
      <c r="D366" s="1892"/>
      <c r="E366" s="1892"/>
      <c r="F366" s="1892"/>
      <c r="G366" s="1892"/>
      <c r="H366" s="1892"/>
      <c r="I366" s="1892"/>
      <c r="J366" s="1892"/>
      <c r="K366" s="1892"/>
      <c r="L366" s="1892"/>
      <c r="M366" s="1892"/>
      <c r="N366" s="1892"/>
      <c r="O366" s="166" t="s">
        <v>622</v>
      </c>
      <c r="P366" s="3094" t="s">
        <v>3011</v>
      </c>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31" t="s">
        <v>4754</v>
      </c>
      <c r="B368" s="3132"/>
      <c r="C368" s="3132"/>
      <c r="D368" s="3132"/>
      <c r="E368" s="3132"/>
      <c r="F368" s="3132"/>
      <c r="G368" s="3132"/>
      <c r="H368" s="3132"/>
      <c r="I368" s="3132"/>
      <c r="J368" s="3132"/>
      <c r="K368" s="3132"/>
      <c r="L368" s="3132"/>
      <c r="M368" s="3132"/>
      <c r="N368" s="3132"/>
      <c r="O368" s="3132"/>
      <c r="P368" s="3132"/>
      <c r="Q368" s="3133"/>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4155</v>
      </c>
      <c r="B372" s="4" t="s">
        <v>3946</v>
      </c>
      <c r="C372" s="4"/>
      <c r="D372" s="4"/>
      <c r="E372" s="4"/>
      <c r="F372" s="4"/>
      <c r="G372" s="4"/>
      <c r="H372" s="1592"/>
      <c r="I372" s="1592"/>
      <c r="J372" s="1592"/>
      <c r="O372" s="136" t="s">
        <v>1881</v>
      </c>
      <c r="P372" s="1897"/>
      <c r="Q372" s="1904"/>
    </row>
    <row r="373" spans="1:32" s="43" customFormat="1" ht="10.5" customHeight="1">
      <c r="A373" s="48" t="s">
        <v>1999</v>
      </c>
      <c r="B373" s="656" t="s">
        <v>3948</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4172</v>
      </c>
      <c r="D374" s="1921"/>
      <c r="E374" s="1921"/>
      <c r="F374" s="1922"/>
      <c r="G374" s="3128"/>
      <c r="H374" s="3129"/>
      <c r="I374" s="3130"/>
      <c r="J374" s="1589" t="s">
        <v>3955</v>
      </c>
      <c r="K374" s="3128"/>
      <c r="L374" s="3129"/>
      <c r="M374" s="3130"/>
      <c r="N374" s="1907" t="s">
        <v>3947</v>
      </c>
      <c r="O374" s="1908"/>
      <c r="P374" s="3196"/>
      <c r="Q374" s="3197"/>
      <c r="AE374" s="51"/>
      <c r="AF374" s="51"/>
    </row>
    <row r="375" spans="1:32" s="43" customFormat="1" ht="10.5" customHeight="1">
      <c r="B375" s="37" t="s">
        <v>1751</v>
      </c>
      <c r="C375" s="53" t="s">
        <v>3949</v>
      </c>
      <c r="I375" s="484" t="s">
        <v>1751</v>
      </c>
      <c r="J375" s="3198"/>
      <c r="K375" s="3199"/>
      <c r="AE375" s="51"/>
      <c r="AF375" s="51"/>
    </row>
    <row r="376" spans="1:32" s="43" customFormat="1" ht="10.5" customHeight="1">
      <c r="A376" s="48"/>
      <c r="B376" s="37" t="s">
        <v>1752</v>
      </c>
      <c r="C376" s="53" t="s">
        <v>3950</v>
      </c>
      <c r="D376" s="47"/>
      <c r="E376" s="138"/>
      <c r="F376" s="1911" t="str">
        <f>'Part I-Project Information'!K40</f>
        <v>Rural</v>
      </c>
      <c r="G376" s="1912"/>
      <c r="H376" s="1594" t="s">
        <v>3951</v>
      </c>
      <c r="I376" s="138"/>
      <c r="J376" s="138"/>
      <c r="K376" s="138"/>
      <c r="L376" s="138"/>
      <c r="M376" s="138"/>
      <c r="N376" s="138"/>
      <c r="O376" s="484" t="s">
        <v>1752</v>
      </c>
      <c r="P376" s="2929"/>
      <c r="Q376" s="561"/>
      <c r="AE376" s="51"/>
      <c r="AF376" s="51"/>
    </row>
    <row r="377" spans="1:32" s="43" customFormat="1" ht="10.5" customHeight="1">
      <c r="A377" s="48"/>
      <c r="B377" s="37" t="s">
        <v>2381</v>
      </c>
      <c r="C377" s="53" t="s">
        <v>3952</v>
      </c>
      <c r="E377" s="138"/>
      <c r="F377" s="138"/>
      <c r="G377" s="138"/>
      <c r="H377" s="138"/>
      <c r="I377" s="138"/>
      <c r="J377" s="3200"/>
      <c r="K377" s="3201"/>
      <c r="L377" s="1913"/>
      <c r="M377" s="1914"/>
      <c r="N377" s="53" t="s">
        <v>3962</v>
      </c>
      <c r="O377" s="484"/>
      <c r="P377" s="2935"/>
      <c r="Q377" s="562"/>
      <c r="AE377" s="51"/>
      <c r="AF377" s="51"/>
    </row>
    <row r="378" spans="1:32" s="43" customFormat="1" ht="10.5" customHeight="1">
      <c r="A378" s="48"/>
      <c r="B378" s="37" t="s">
        <v>1561</v>
      </c>
      <c r="C378" s="53" t="s">
        <v>3953</v>
      </c>
      <c r="E378" s="53"/>
      <c r="F378" s="1909">
        <f>'Part IV-A-Uses of Funds'!J173</f>
        <v>850000</v>
      </c>
      <c r="G378" s="1910"/>
      <c r="H378" s="53" t="s">
        <v>3954</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3956</v>
      </c>
      <c r="E379" s="53"/>
      <c r="F379" s="53"/>
      <c r="G379" s="53"/>
      <c r="H379" s="53" t="s">
        <v>3618</v>
      </c>
      <c r="I379" s="53"/>
      <c r="J379" s="3200"/>
      <c r="K379" s="3201"/>
      <c r="L379" s="53" t="s">
        <v>3957</v>
      </c>
      <c r="M379" s="1913"/>
      <c r="N379" s="1914"/>
      <c r="AE379" s="51"/>
      <c r="AF379" s="51"/>
    </row>
    <row r="380" spans="1:32" s="43" customFormat="1" ht="10.5" customHeight="1">
      <c r="B380" s="37" t="s">
        <v>99</v>
      </c>
      <c r="C380" s="53" t="s">
        <v>3958</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3959</v>
      </c>
      <c r="D382" s="138"/>
      <c r="E382" s="138"/>
      <c r="F382" s="138"/>
      <c r="G382" s="138"/>
      <c r="H382" s="138"/>
      <c r="J382" s="1919" t="s">
        <v>3964</v>
      </c>
      <c r="K382" s="1919"/>
      <c r="L382" s="1919"/>
      <c r="M382" s="1919"/>
      <c r="N382" s="1917" t="s">
        <v>3961</v>
      </c>
      <c r="O382" s="1917"/>
      <c r="P382" s="138"/>
      <c r="Q382" s="138"/>
      <c r="R382" s="138"/>
      <c r="AE382" s="51"/>
      <c r="AF382" s="51"/>
    </row>
    <row r="383" spans="1:32" s="43" customFormat="1" ht="10.5" customHeight="1">
      <c r="B383" s="37" t="s">
        <v>1750</v>
      </c>
      <c r="C383" s="956" t="s">
        <v>3960</v>
      </c>
      <c r="E383" s="1594"/>
      <c r="F383" s="1594"/>
      <c r="G383" s="1594"/>
      <c r="H383" s="1594"/>
      <c r="J383" s="3202"/>
      <c r="K383" s="3203"/>
      <c r="L383" s="1915"/>
      <c r="M383" s="1916"/>
      <c r="N383" s="1208" t="str">
        <f>IF(J383="","",J377/J383)</f>
        <v/>
      </c>
      <c r="O383" s="1209" t="str">
        <f>IF(L383="","",L377/L383)</f>
        <v/>
      </c>
      <c r="P383" s="2929"/>
      <c r="Q383" s="561"/>
      <c r="AE383" s="51"/>
      <c r="AF383" s="51"/>
    </row>
    <row r="384" spans="1:32" s="43" customFormat="1" ht="10.5" customHeight="1">
      <c r="B384" s="37" t="s">
        <v>1751</v>
      </c>
      <c r="C384" s="53" t="s">
        <v>3963</v>
      </c>
      <c r="E384" s="138"/>
      <c r="F384" s="138"/>
      <c r="G384" s="138"/>
      <c r="H384" s="138"/>
      <c r="N384" s="138"/>
      <c r="O384" s="484" t="s">
        <v>1751</v>
      </c>
      <c r="P384" s="3204"/>
      <c r="Q384" s="1454"/>
      <c r="AE384" s="51"/>
      <c r="AF384" s="51"/>
    </row>
    <row r="385" spans="1:32" s="43" customFormat="1" ht="10.5" customHeight="1">
      <c r="B385" s="37" t="s">
        <v>1752</v>
      </c>
      <c r="C385" s="53" t="s">
        <v>3965</v>
      </c>
      <c r="E385" s="138"/>
      <c r="F385" s="138"/>
      <c r="G385" s="138"/>
      <c r="H385" s="138"/>
      <c r="M385" s="138"/>
      <c r="N385" s="138"/>
      <c r="O385" s="484" t="s">
        <v>1752</v>
      </c>
      <c r="P385" s="2928"/>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31" t="s">
        <v>4561</v>
      </c>
      <c r="B387" s="3132"/>
      <c r="C387" s="3132"/>
      <c r="D387" s="3132"/>
      <c r="E387" s="3132"/>
      <c r="F387" s="3132"/>
      <c r="G387" s="3132"/>
      <c r="H387" s="3132"/>
      <c r="I387" s="3132"/>
      <c r="J387" s="3132"/>
      <c r="K387" s="3132"/>
      <c r="L387" s="3132"/>
      <c r="M387" s="3132"/>
      <c r="N387" s="3132"/>
      <c r="O387" s="3132"/>
      <c r="P387" s="3132"/>
      <c r="Q387" s="3133"/>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4156</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5"/>
      <c r="F393" s="3206"/>
      <c r="G393" s="3206"/>
      <c r="H393" s="3206"/>
      <c r="I393" s="3207"/>
      <c r="J393" s="1907" t="s">
        <v>2688</v>
      </c>
      <c r="K393" s="1986"/>
      <c r="L393" s="1908"/>
      <c r="M393" s="3205"/>
      <c r="N393" s="3206"/>
      <c r="O393" s="3206"/>
      <c r="P393" s="3206"/>
      <c r="Q393" s="3207"/>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50"/>
      <c r="Q395" s="564"/>
    </row>
    <row r="396" spans="1:32">
      <c r="A396" s="48" t="s">
        <v>2131</v>
      </c>
      <c r="B396" s="56" t="s">
        <v>3725</v>
      </c>
      <c r="G396" s="1594"/>
      <c r="H396" s="1594"/>
      <c r="I396" s="1594"/>
      <c r="J396" s="956" t="s">
        <v>3726</v>
      </c>
      <c r="L396" s="1594"/>
      <c r="M396" s="1987">
        <f>'Part III-Sources of Funds'!E11</f>
        <v>0</v>
      </c>
      <c r="N396" s="1988"/>
      <c r="O396" s="484" t="s">
        <v>2131</v>
      </c>
      <c r="P396" s="2928"/>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31" t="s">
        <v>4561</v>
      </c>
      <c r="B398" s="3132"/>
      <c r="C398" s="3132"/>
      <c r="D398" s="3132"/>
      <c r="E398" s="3132"/>
      <c r="F398" s="3132"/>
      <c r="G398" s="3132"/>
      <c r="H398" s="3132"/>
      <c r="I398" s="3132"/>
      <c r="J398" s="3132"/>
      <c r="K398" s="3132"/>
      <c r="L398" s="3132"/>
      <c r="M398" s="3132"/>
      <c r="N398" s="3132"/>
      <c r="O398" s="3132"/>
      <c r="P398" s="3132"/>
      <c r="Q398" s="3133"/>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4157</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t="s">
        <v>3014</v>
      </c>
      <c r="Q403" s="561"/>
    </row>
    <row r="404" spans="1:31" ht="12" customHeight="1">
      <c r="A404" s="48" t="s">
        <v>2001</v>
      </c>
      <c r="B404" s="53" t="s">
        <v>3608</v>
      </c>
      <c r="D404" s="957"/>
      <c r="E404" s="957"/>
      <c r="O404" s="484" t="s">
        <v>2001</v>
      </c>
      <c r="P404" s="2935" t="s">
        <v>3014</v>
      </c>
      <c r="Q404" s="562"/>
    </row>
    <row r="405" spans="1:31" ht="12" customHeight="1">
      <c r="A405" s="48" t="s">
        <v>757</v>
      </c>
      <c r="B405" s="53" t="s">
        <v>4120</v>
      </c>
      <c r="D405" s="957"/>
      <c r="E405" s="957"/>
      <c r="O405" s="484" t="s">
        <v>757</v>
      </c>
      <c r="P405" s="2935" t="s">
        <v>3011</v>
      </c>
      <c r="Q405" s="562"/>
    </row>
    <row r="406" spans="1:31" ht="12" customHeight="1">
      <c r="A406" s="48" t="s">
        <v>2131</v>
      </c>
      <c r="B406" s="53" t="s">
        <v>3609</v>
      </c>
      <c r="E406" s="144"/>
      <c r="O406" s="484" t="s">
        <v>2131</v>
      </c>
      <c r="P406" s="2935" t="s">
        <v>3014</v>
      </c>
      <c r="Q406" s="562"/>
    </row>
    <row r="407" spans="1:31" ht="12" customHeight="1">
      <c r="A407" s="48" t="s">
        <v>1748</v>
      </c>
      <c r="B407" s="53" t="s">
        <v>2095</v>
      </c>
      <c r="E407" s="144"/>
      <c r="G407" s="484" t="s">
        <v>1748</v>
      </c>
      <c r="H407" s="3208"/>
      <c r="I407" s="3209"/>
      <c r="J407" s="3209"/>
      <c r="K407" s="3209"/>
      <c r="L407" s="3209"/>
      <c r="M407" s="3209"/>
      <c r="N407" s="3209"/>
      <c r="O407" s="3210"/>
      <c r="P407" s="2928" t="s">
        <v>3014</v>
      </c>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31" t="s">
        <v>4717</v>
      </c>
      <c r="B409" s="3132"/>
      <c r="C409" s="3132"/>
      <c r="D409" s="3132"/>
      <c r="E409" s="3132"/>
      <c r="F409" s="3132"/>
      <c r="G409" s="3132"/>
      <c r="H409" s="3132"/>
      <c r="I409" s="3132"/>
      <c r="J409" s="3132"/>
      <c r="K409" s="3132"/>
      <c r="L409" s="3132"/>
      <c r="M409" s="3132"/>
      <c r="N409" s="3132"/>
      <c r="O409" s="3132"/>
      <c r="P409" s="3132"/>
      <c r="Q409" s="3133"/>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4158</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3011</v>
      </c>
      <c r="Q414" s="561"/>
    </row>
    <row r="415" spans="1:31" ht="12" customHeight="1">
      <c r="A415" s="48" t="s">
        <v>2001</v>
      </c>
      <c r="B415" s="37" t="s">
        <v>3499</v>
      </c>
      <c r="D415" s="43"/>
      <c r="E415" s="43"/>
      <c r="F415" s="43"/>
      <c r="G415" s="43"/>
      <c r="H415" s="43"/>
      <c r="I415" s="43"/>
      <c r="J415" s="43"/>
      <c r="K415" s="43"/>
      <c r="L415" s="43"/>
      <c r="M415" s="43"/>
      <c r="N415" s="43"/>
      <c r="O415" s="484" t="s">
        <v>1458</v>
      </c>
      <c r="P415" s="2928"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t="s">
        <v>3011</v>
      </c>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11">
        <v>0</v>
      </c>
      <c r="H421" s="572"/>
      <c r="J421" s="139" t="s">
        <v>2221</v>
      </c>
      <c r="K421" s="956"/>
      <c r="N421" s="3211">
        <v>1</v>
      </c>
      <c r="O421" s="572"/>
    </row>
    <row r="422" spans="1:32" ht="12" customHeight="1">
      <c r="A422" s="48"/>
      <c r="B422" s="139" t="s">
        <v>2219</v>
      </c>
      <c r="C422" s="37"/>
      <c r="E422" s="43"/>
      <c r="F422" s="956"/>
      <c r="G422" s="3212">
        <v>0</v>
      </c>
      <c r="H422" s="573"/>
      <c r="J422" s="139" t="s">
        <v>2222</v>
      </c>
      <c r="K422" s="956"/>
      <c r="N422" s="3213">
        <v>1</v>
      </c>
      <c r="O422" s="574"/>
    </row>
    <row r="423" spans="1:32" ht="12" customHeight="1">
      <c r="A423" s="48"/>
      <c r="B423" s="139" t="s">
        <v>2220</v>
      </c>
      <c r="C423" s="37"/>
      <c r="E423" s="43"/>
      <c r="F423" s="956"/>
      <c r="G423" s="3213">
        <v>1</v>
      </c>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t="s">
        <v>3011</v>
      </c>
      <c r="H425" s="561"/>
      <c r="J425" s="446" t="s">
        <v>1193</v>
      </c>
      <c r="K425" s="956"/>
      <c r="N425" s="2999" t="s">
        <v>3011</v>
      </c>
      <c r="O425" s="560"/>
    </row>
    <row r="426" spans="1:32" ht="12" customHeight="1">
      <c r="A426" s="43"/>
      <c r="B426" s="446" t="s">
        <v>1192</v>
      </c>
      <c r="C426" s="956"/>
      <c r="E426" s="956"/>
      <c r="F426" s="956"/>
      <c r="G426" s="2928" t="s">
        <v>3011</v>
      </c>
      <c r="H426" s="563"/>
      <c r="J426" s="446" t="s">
        <v>2269</v>
      </c>
      <c r="N426" s="3214"/>
      <c r="O426" s="3215"/>
      <c r="P426" s="3215"/>
      <c r="Q426" s="3216"/>
    </row>
    <row r="427" spans="1:32" ht="12" customHeight="1">
      <c r="B427" s="145" t="s">
        <v>3779</v>
      </c>
      <c r="D427" s="145"/>
      <c r="E427" s="145"/>
      <c r="F427" s="145"/>
      <c r="G427" s="145"/>
      <c r="H427" s="41"/>
      <c r="I427" s="1589"/>
      <c r="J427" s="1589"/>
      <c r="K427" s="1589"/>
      <c r="P427" s="1585"/>
      <c r="Q427" s="955"/>
    </row>
    <row r="428" spans="1:32" ht="27.75" customHeight="1">
      <c r="A428" s="3131" t="s">
        <v>4729</v>
      </c>
      <c r="B428" s="3132"/>
      <c r="C428" s="3132"/>
      <c r="D428" s="3132"/>
      <c r="E428" s="3132"/>
      <c r="F428" s="3132"/>
      <c r="G428" s="3132"/>
      <c r="H428" s="3132"/>
      <c r="I428" s="3132"/>
      <c r="J428" s="3132"/>
      <c r="K428" s="3132"/>
      <c r="L428" s="3132"/>
      <c r="M428" s="3132"/>
      <c r="N428" s="3132"/>
      <c r="O428" s="3132"/>
      <c r="P428" s="3132"/>
      <c r="Q428" s="3133"/>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4159</v>
      </c>
      <c r="B432" s="4" t="s">
        <v>2834</v>
      </c>
      <c r="C432" s="4"/>
      <c r="D432" s="89"/>
      <c r="E432" s="1592"/>
      <c r="F432" s="1592"/>
      <c r="G432" s="1592"/>
      <c r="H432" s="1592"/>
      <c r="O432" s="136" t="s">
        <v>1881</v>
      </c>
      <c r="P432" s="1897"/>
      <c r="Q432" s="1904"/>
    </row>
    <row r="433" spans="1:32" ht="13.9" customHeight="1">
      <c r="B433" s="89" t="s">
        <v>3966</v>
      </c>
      <c r="C433" s="4"/>
      <c r="D433" s="89"/>
      <c r="E433" s="1592"/>
      <c r="F433" s="1592"/>
      <c r="G433" s="1592"/>
      <c r="H433" s="1592"/>
    </row>
    <row r="434" spans="1:32" s="137" customFormat="1" ht="21.75" customHeight="1">
      <c r="A434" s="146" t="s">
        <v>1999</v>
      </c>
      <c r="B434" s="1893" t="s">
        <v>3969</v>
      </c>
      <c r="C434" s="1893"/>
      <c r="D434" s="1893"/>
      <c r="E434" s="1893"/>
      <c r="F434" s="1893"/>
      <c r="G434" s="1893"/>
      <c r="H434" s="1893"/>
      <c r="I434" s="1893"/>
      <c r="J434" s="1893"/>
      <c r="K434" s="1893"/>
      <c r="L434" s="1893"/>
      <c r="M434" s="1893"/>
      <c r="N434" s="1893"/>
      <c r="O434" s="166" t="s">
        <v>1999</v>
      </c>
      <c r="P434" s="3071" t="s">
        <v>4635</v>
      </c>
      <c r="Q434" s="1261"/>
      <c r="AE434" s="487"/>
      <c r="AF434" s="487"/>
    </row>
    <row r="435" spans="1:32" s="137" customFormat="1" ht="22.5" customHeight="1">
      <c r="A435" s="146" t="s">
        <v>2001</v>
      </c>
      <c r="B435" s="1893" t="s">
        <v>3967</v>
      </c>
      <c r="C435" s="1893"/>
      <c r="D435" s="1893"/>
      <c r="E435" s="1893"/>
      <c r="F435" s="1893"/>
      <c r="G435" s="1893"/>
      <c r="H435" s="1893"/>
      <c r="I435" s="1893"/>
      <c r="J435" s="1893"/>
      <c r="K435" s="1893"/>
      <c r="L435" s="1893"/>
      <c r="M435" s="1893"/>
      <c r="N435" s="1893"/>
      <c r="O435" s="166" t="s">
        <v>2001</v>
      </c>
      <c r="P435" s="3150" t="s">
        <v>4635</v>
      </c>
      <c r="Q435" s="564"/>
      <c r="AE435" s="487"/>
      <c r="AF435" s="487"/>
    </row>
    <row r="436" spans="1:32" s="137" customFormat="1" ht="22.5" customHeight="1">
      <c r="B436" s="1893" t="s">
        <v>3968</v>
      </c>
      <c r="C436" s="1893"/>
      <c r="D436" s="1893"/>
      <c r="E436" s="1893"/>
      <c r="F436" s="1893"/>
      <c r="G436" s="1893"/>
      <c r="H436" s="1893"/>
      <c r="I436" s="1893"/>
      <c r="J436" s="1893"/>
      <c r="K436" s="1893"/>
      <c r="L436" s="1893"/>
      <c r="M436" s="1893"/>
      <c r="N436" s="1893"/>
      <c r="O436" s="166" t="s">
        <v>1750</v>
      </c>
      <c r="P436" s="3150" t="s">
        <v>4635</v>
      </c>
      <c r="Q436" s="564"/>
      <c r="AE436" s="487"/>
      <c r="AF436" s="487"/>
    </row>
    <row r="437" spans="1:32" s="137" customFormat="1" ht="12" customHeight="1">
      <c r="B437" s="405" t="s">
        <v>3970</v>
      </c>
      <c r="D437" s="622"/>
      <c r="E437" s="622"/>
      <c r="F437" s="622"/>
      <c r="G437" s="622"/>
      <c r="H437" s="622"/>
      <c r="I437" s="622"/>
      <c r="J437" s="622"/>
      <c r="K437" s="622"/>
      <c r="L437" s="622"/>
      <c r="M437" s="622"/>
      <c r="N437" s="622"/>
      <c r="O437" s="166" t="s">
        <v>1751</v>
      </c>
      <c r="P437" s="3150" t="s">
        <v>4635</v>
      </c>
      <c r="Q437" s="564"/>
      <c r="AE437" s="487"/>
      <c r="AF437" s="487"/>
    </row>
    <row r="438" spans="1:32" s="137" customFormat="1" ht="36" customHeight="1">
      <c r="B438" s="1893" t="s">
        <v>3971</v>
      </c>
      <c r="C438" s="1893"/>
      <c r="D438" s="1893"/>
      <c r="E438" s="1893"/>
      <c r="F438" s="1893"/>
      <c r="G438" s="1893"/>
      <c r="H438" s="1893"/>
      <c r="I438" s="1893"/>
      <c r="J438" s="1893"/>
      <c r="K438" s="1893"/>
      <c r="L438" s="1893"/>
      <c r="M438" s="1893"/>
      <c r="N438" s="1893"/>
      <c r="O438" s="166" t="s">
        <v>1752</v>
      </c>
      <c r="P438" s="3150" t="s">
        <v>4635</v>
      </c>
      <c r="Q438" s="564"/>
      <c r="AE438" s="487"/>
      <c r="AF438" s="487"/>
    </row>
    <row r="439" spans="1:32" s="137" customFormat="1" ht="22.5" customHeight="1">
      <c r="B439" s="1893" t="s">
        <v>3972</v>
      </c>
      <c r="C439" s="1893"/>
      <c r="D439" s="1893"/>
      <c r="E439" s="1893"/>
      <c r="F439" s="1893"/>
      <c r="G439" s="1893"/>
      <c r="H439" s="1893"/>
      <c r="I439" s="1893"/>
      <c r="J439" s="1893"/>
      <c r="K439" s="1893"/>
      <c r="L439" s="1893"/>
      <c r="M439" s="1893"/>
      <c r="N439" s="1893"/>
      <c r="O439" s="166" t="s">
        <v>2381</v>
      </c>
      <c r="P439" s="3150" t="s">
        <v>4635</v>
      </c>
      <c r="Q439" s="564"/>
      <c r="AE439" s="487"/>
      <c r="AF439" s="487"/>
    </row>
    <row r="440" spans="1:32" s="137" customFormat="1" ht="22.5" customHeight="1">
      <c r="A440" s="146" t="s">
        <v>757</v>
      </c>
      <c r="B440" s="1893" t="s">
        <v>3973</v>
      </c>
      <c r="C440" s="1893"/>
      <c r="D440" s="1893"/>
      <c r="E440" s="1893"/>
      <c r="F440" s="1893"/>
      <c r="G440" s="1893"/>
      <c r="H440" s="1893"/>
      <c r="I440" s="1893"/>
      <c r="J440" s="1893"/>
      <c r="K440" s="1893"/>
      <c r="L440" s="1893"/>
      <c r="M440" s="1893"/>
      <c r="N440" s="1893"/>
      <c r="O440" s="166" t="s">
        <v>757</v>
      </c>
      <c r="P440" s="3150" t="s">
        <v>4635</v>
      </c>
      <c r="Q440" s="564"/>
      <c r="AE440" s="487"/>
      <c r="AF440" s="487"/>
    </row>
    <row r="441" spans="1:32" s="137" customFormat="1" ht="22.5" customHeight="1">
      <c r="A441" s="146" t="s">
        <v>2131</v>
      </c>
      <c r="B441" s="1893" t="s">
        <v>3974</v>
      </c>
      <c r="C441" s="1893"/>
      <c r="D441" s="1893"/>
      <c r="E441" s="1893"/>
      <c r="F441" s="1893"/>
      <c r="G441" s="1893"/>
      <c r="H441" s="1893"/>
      <c r="I441" s="1893"/>
      <c r="J441" s="1893"/>
      <c r="K441" s="1893"/>
      <c r="L441" s="1893"/>
      <c r="M441" s="1893"/>
      <c r="N441" s="1893"/>
      <c r="O441" s="166" t="s">
        <v>2131</v>
      </c>
      <c r="P441" s="3150" t="s">
        <v>4635</v>
      </c>
      <c r="Q441" s="564"/>
      <c r="AE441" s="487"/>
      <c r="AF441" s="487"/>
    </row>
    <row r="442" spans="1:32" s="137" customFormat="1" ht="21.75" customHeight="1">
      <c r="A442" s="146" t="s">
        <v>1748</v>
      </c>
      <c r="B442" s="1893" t="s">
        <v>3975</v>
      </c>
      <c r="C442" s="1893"/>
      <c r="D442" s="1893"/>
      <c r="E442" s="1893"/>
      <c r="F442" s="1893"/>
      <c r="G442" s="1893"/>
      <c r="H442" s="1893"/>
      <c r="I442" s="1893"/>
      <c r="J442" s="1893"/>
      <c r="K442" s="1893"/>
      <c r="L442" s="1893"/>
      <c r="M442" s="1893"/>
      <c r="N442" s="1893"/>
      <c r="O442" s="166" t="s">
        <v>1748</v>
      </c>
      <c r="P442" s="3150" t="s">
        <v>4635</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4" t="s">
        <v>4635</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31" t="s">
        <v>4648</v>
      </c>
      <c r="B445" s="3132"/>
      <c r="C445" s="3132"/>
      <c r="D445" s="3132"/>
      <c r="E445" s="3132"/>
      <c r="F445" s="3132"/>
      <c r="G445" s="3132"/>
      <c r="H445" s="3132"/>
      <c r="I445" s="3132"/>
      <c r="J445" s="3132"/>
      <c r="K445" s="3132"/>
      <c r="L445" s="3132"/>
      <c r="M445" s="3132"/>
      <c r="N445" s="3132"/>
      <c r="O445" s="3132"/>
      <c r="P445" s="3132"/>
      <c r="Q445" s="313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4160</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13" t="s">
        <v>4730</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3894</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3943</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3942</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3944</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q3Unx8FmSaWL4+ZgwobWOhwu3fMuauLRe6QTIWUFGACtuBaGg1L69ibeJIsWraE3XBqLZ8pBazXLWvQyOczxFw==" saltValue="eUcTBKGgA6uJwomwNA38s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3" zoomScale="130" zoomScaleNormal="13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2018-035 Peaks of Cartersville, Cartersville, Bartow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4136</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2">
        <v>0</v>
      </c>
      <c r="P10" s="1254">
        <f>F15</f>
        <v>0</v>
      </c>
    </row>
    <row r="11" spans="1:22" s="44" customFormat="1" ht="11.25" customHeight="1">
      <c r="A11" s="185"/>
      <c r="C11" s="113" t="s">
        <v>2129</v>
      </c>
      <c r="D11" s="49"/>
      <c r="E11" s="49"/>
      <c r="F11" s="1593"/>
      <c r="H11" s="179" t="s">
        <v>2783</v>
      </c>
      <c r="J11" s="50"/>
      <c r="M11" s="6">
        <v>1</v>
      </c>
      <c r="N11" s="67"/>
      <c r="O11" s="2923"/>
      <c r="P11" s="1298">
        <f>J15</f>
        <v>0</v>
      </c>
    </row>
    <row r="12" spans="1:22" s="43" customFormat="1" ht="11.25" customHeight="1">
      <c r="A12" s="185" t="s">
        <v>2001</v>
      </c>
      <c r="B12" s="172" t="s">
        <v>734</v>
      </c>
      <c r="D12" s="49"/>
      <c r="E12" s="49"/>
      <c r="F12" s="1593"/>
      <c r="H12" s="179" t="s">
        <v>2747</v>
      </c>
      <c r="J12" s="50"/>
      <c r="M12" s="6"/>
      <c r="N12" s="67" t="s">
        <v>2001</v>
      </c>
      <c r="O12" s="2922">
        <v>0</v>
      </c>
      <c r="P12" s="1254">
        <f>O15</f>
        <v>0</v>
      </c>
    </row>
    <row r="13" spans="1:22" s="43" customFormat="1" ht="10.9" customHeight="1">
      <c r="A13" s="69"/>
      <c r="C13" s="113" t="s">
        <v>4191</v>
      </c>
      <c r="D13" s="53"/>
      <c r="E13" s="53"/>
      <c r="F13" s="53"/>
      <c r="G13" s="69"/>
      <c r="H13" s="179" t="s">
        <v>2747</v>
      </c>
      <c r="I13" s="69"/>
      <c r="J13" s="69"/>
      <c r="K13" s="69"/>
      <c r="L13" s="69"/>
      <c r="M13" s="69"/>
      <c r="N13" s="69"/>
      <c r="O13" s="2924"/>
      <c r="P13" s="1255">
        <f>+O29</f>
        <v>0</v>
      </c>
      <c r="R13" s="463"/>
      <c r="S13" s="163"/>
    </row>
    <row r="14" spans="1:22" s="43" customFormat="1" ht="10.9" customHeight="1">
      <c r="A14" s="2171" t="s">
        <v>3871</v>
      </c>
      <c r="B14" s="2171"/>
      <c r="C14" s="2171"/>
      <c r="D14" s="2171"/>
      <c r="E14" s="2171"/>
      <c r="F14" s="1589" t="s">
        <v>4194</v>
      </c>
      <c r="J14" s="1589" t="s">
        <v>4194</v>
      </c>
      <c r="K14" s="1589"/>
      <c r="O14" s="2175" t="s">
        <v>4194</v>
      </c>
      <c r="P14" s="2175"/>
      <c r="R14" s="463"/>
      <c r="S14" s="163"/>
    </row>
    <row r="15" spans="1:22" s="43" customFormat="1" ht="11.25" customHeight="1">
      <c r="A15" s="2154"/>
      <c r="B15" s="2154"/>
      <c r="C15" s="2154"/>
      <c r="D15" s="2154"/>
      <c r="E15" s="2154"/>
      <c r="F15" s="79">
        <f>SUM(F16:F27)</f>
        <v>0</v>
      </c>
      <c r="G15" s="2172" t="s">
        <v>3610</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3611</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3612</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3613</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4224</v>
      </c>
      <c r="F28" s="2155" t="s">
        <v>4536</v>
      </c>
      <c r="G28" s="2155"/>
      <c r="H28" s="2155"/>
      <c r="I28" s="2155"/>
      <c r="J28" s="2155"/>
      <c r="K28" s="2155"/>
      <c r="L28" s="2155"/>
      <c r="M28" s="2155"/>
      <c r="N28" s="2155"/>
      <c r="O28" s="2155"/>
      <c r="P28" s="2155"/>
      <c r="Q28" s="112"/>
      <c r="R28" s="391"/>
    </row>
    <row r="29" spans="1:19" s="43" customFormat="1" ht="10.5" customHeight="1">
      <c r="A29" s="303" t="s">
        <v>4195</v>
      </c>
      <c r="B29" s="1316" t="s">
        <v>4196</v>
      </c>
      <c r="C29" s="1316"/>
      <c r="D29" s="1316"/>
      <c r="E29" s="2154"/>
      <c r="F29" s="2156" t="s">
        <v>4223</v>
      </c>
      <c r="G29" s="2156"/>
      <c r="H29" s="2156"/>
      <c r="I29" s="2156"/>
      <c r="J29" s="2156"/>
      <c r="K29" s="2156"/>
      <c r="L29" s="2156"/>
      <c r="M29" s="2156"/>
      <c r="N29" s="2157"/>
      <c r="O29" s="2131">
        <f>SUM(O30:O41)</f>
        <v>0</v>
      </c>
      <c r="P29" s="2132"/>
      <c r="Q29" s="463"/>
      <c r="R29" s="163"/>
    </row>
    <row r="30" spans="1:19" s="43" customFormat="1" ht="10.5" customHeight="1">
      <c r="A30" s="1299" t="s">
        <v>750</v>
      </c>
      <c r="B30" s="1300" t="s">
        <v>4197</v>
      </c>
      <c r="C30" s="1301"/>
      <c r="D30" s="1302"/>
      <c r="E30" s="1358">
        <f>$O$57</f>
        <v>10</v>
      </c>
      <c r="F30" s="2136" t="str">
        <f>$A$63</f>
        <v>This project qualifies for 14 desirable points but is capped at 10.</v>
      </c>
      <c r="G30" s="2137"/>
      <c r="H30" s="2137"/>
      <c r="I30" s="2137"/>
      <c r="J30" s="2137"/>
      <c r="K30" s="2137"/>
      <c r="L30" s="2137"/>
      <c r="M30" s="2137"/>
      <c r="N30" s="2138"/>
      <c r="O30" s="2144" t="s">
        <v>1746</v>
      </c>
      <c r="P30" s="2145"/>
      <c r="Q30" s="461"/>
      <c r="R30" s="163"/>
    </row>
    <row r="31" spans="1:19" s="43" customFormat="1" ht="10.5" customHeight="1">
      <c r="A31" s="1303" t="s">
        <v>1807</v>
      </c>
      <c r="B31" s="1033" t="s">
        <v>4198</v>
      </c>
      <c r="C31" s="1188"/>
      <c r="D31" s="1304"/>
      <c r="E31" s="1359">
        <f>$O$94</f>
        <v>2</v>
      </c>
      <c r="F31" s="2121" t="str">
        <f>$A$107</f>
        <v>This project has selected the Sustainable Building Certification of Earth Craft House Multifamily (Earthcraft Multifamily) for 1 point and High Performance Building Design item 1 for an additional 1 point using Option 1.  The applicant self-score is 137 points for Earthcraft Multifamily but the commitment is to score the minimum required to achieve the certification.</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4199</v>
      </c>
      <c r="C32" s="1188"/>
      <c r="D32" s="1304"/>
      <c r="E32" s="1359">
        <f>$O$153</f>
        <v>4</v>
      </c>
      <c r="F32" s="2121" t="str">
        <f>$A$185</f>
        <v>The schools in the site's attendance district all exceed the state average.  The 2 mile ring from the property listed 11,752 jobs exceeding the minimum threshold as required for the points.</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4200</v>
      </c>
      <c r="C33" s="1188"/>
      <c r="D33" s="1304"/>
      <c r="E33" s="1432">
        <f>$O$189</f>
        <v>3</v>
      </c>
      <c r="F33" s="2141" t="str">
        <f>$A$224</f>
        <v>The Transformation Plan was approved and scored points in the 2017 round.  This plan is being used in place of the Revitalization Plan for this section as allowed in the QAP.</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4201</v>
      </c>
      <c r="C34" s="1311"/>
      <c r="D34" s="1312"/>
      <c r="E34" s="1360" t="s">
        <v>1746</v>
      </c>
      <c r="F34" s="2124" t="str">
        <f>$A$266</f>
        <v>We are not selecting Transformation Points for this application.  We are using our 2017 Approved Transformation Plan from 2017 for the VIII Revitalization/Redevelopment Plan points as allowed in the QAP.</v>
      </c>
      <c r="G34" s="2125"/>
      <c r="H34" s="2125"/>
      <c r="I34" s="2125"/>
      <c r="J34" s="2125"/>
      <c r="K34" s="2125"/>
      <c r="L34" s="2125"/>
      <c r="M34" s="2125"/>
      <c r="N34" s="2126"/>
      <c r="O34" s="2127"/>
      <c r="P34" s="2128"/>
      <c r="Q34" s="2191"/>
      <c r="R34" s="2192"/>
      <c r="S34" s="2192"/>
    </row>
    <row r="35" spans="1:19" s="43" customFormat="1" ht="10.5" customHeight="1">
      <c r="A35" s="1303" t="s">
        <v>365</v>
      </c>
      <c r="B35" s="1033" t="s">
        <v>3817</v>
      </c>
      <c r="C35" s="1188"/>
      <c r="D35" s="1304"/>
      <c r="E35" s="1359">
        <f>$O$286</f>
        <v>0</v>
      </c>
      <c r="F35" s="2121" t="str">
        <f>$A$290</f>
        <v>This project is not eligible for these points.</v>
      </c>
      <c r="G35" s="2122"/>
      <c r="H35" s="2122"/>
      <c r="I35" s="2122"/>
      <c r="J35" s="2122"/>
      <c r="K35" s="2122"/>
      <c r="L35" s="2122"/>
      <c r="M35" s="2122"/>
      <c r="N35" s="2123"/>
      <c r="O35" s="2127"/>
      <c r="P35" s="2128"/>
      <c r="Q35" s="2191"/>
      <c r="R35" s="2192"/>
      <c r="S35" s="2192"/>
    </row>
    <row r="36" spans="1:19" s="43" customFormat="1" ht="10.5" customHeight="1">
      <c r="A36" s="1303" t="s">
        <v>2267</v>
      </c>
      <c r="B36" s="1033" t="s">
        <v>4202</v>
      </c>
      <c r="C36" s="1188"/>
      <c r="D36" s="1304"/>
      <c r="E36" s="1360">
        <f>$O$337</f>
        <v>1</v>
      </c>
      <c r="F36" s="2121" t="str">
        <f>$A$342</f>
        <v>Waynesborough Academy II has not selected the priority point within their scoring tab.</v>
      </c>
      <c r="G36" s="2122"/>
      <c r="H36" s="2122"/>
      <c r="I36" s="2122"/>
      <c r="J36" s="2122"/>
      <c r="K36" s="2122"/>
      <c r="L36" s="2122"/>
      <c r="M36" s="2122"/>
      <c r="N36" s="2123"/>
      <c r="O36" s="2127"/>
      <c r="P36" s="2128"/>
      <c r="Q36" s="2191"/>
      <c r="R36" s="2192"/>
      <c r="S36" s="2192"/>
    </row>
    <row r="37" spans="1:19" s="43" customFormat="1" ht="10.5" customHeight="1">
      <c r="A37" s="1303" t="s">
        <v>4512</v>
      </c>
      <c r="B37" s="1033" t="s">
        <v>4513</v>
      </c>
      <c r="C37" s="1188"/>
      <c r="D37" s="1304"/>
      <c r="E37" s="1360">
        <f>$O$294</f>
        <v>0</v>
      </c>
      <c r="F37" s="2141" t="str">
        <f>$A$312</f>
        <v>No Phases or Previous Project Points are selected in this application.</v>
      </c>
      <c r="G37" s="2142"/>
      <c r="H37" s="2142"/>
      <c r="I37" s="2142"/>
      <c r="J37" s="2142"/>
      <c r="K37" s="2142"/>
      <c r="L37" s="2142"/>
      <c r="M37" s="2142"/>
      <c r="N37" s="2143"/>
      <c r="O37" s="2127"/>
      <c r="P37" s="2128"/>
      <c r="Q37" s="2191"/>
      <c r="R37" s="2192"/>
      <c r="S37" s="2192"/>
    </row>
    <row r="38" spans="1:19" s="43" customFormat="1" ht="10.5" customHeight="1">
      <c r="A38" s="1309" t="s">
        <v>4148</v>
      </c>
      <c r="B38" s="1310" t="s">
        <v>4203</v>
      </c>
      <c r="C38" s="1311"/>
      <c r="D38" s="1312"/>
      <c r="E38" s="1431">
        <f>$O$346</f>
        <v>1</v>
      </c>
      <c r="F38" s="2124" t="str">
        <f>$A$358</f>
        <v>The City of Cartersville has authorized one letter to be written for a project in the 2018 LIHTC Round.  They have chosen Peaks of Cartersville.</v>
      </c>
      <c r="G38" s="2125"/>
      <c r="H38" s="2125"/>
      <c r="I38" s="2125"/>
      <c r="J38" s="2125"/>
      <c r="K38" s="2125"/>
      <c r="L38" s="2125"/>
      <c r="M38" s="2125"/>
      <c r="N38" s="2126"/>
      <c r="O38" s="2127"/>
      <c r="P38" s="2128"/>
      <c r="Q38" s="2191"/>
      <c r="R38" s="2192"/>
      <c r="S38" s="2192"/>
    </row>
    <row r="39" spans="1:19" s="43" customFormat="1" ht="10.5" customHeight="1">
      <c r="A39" s="1303" t="s">
        <v>4149</v>
      </c>
      <c r="B39" s="1033" t="s">
        <v>4204</v>
      </c>
      <c r="C39" s="1188"/>
      <c r="D39" s="1304"/>
      <c r="E39" s="1359">
        <f>$O$362</f>
        <v>0</v>
      </c>
      <c r="F39" s="2121" t="str">
        <f>$A$392</f>
        <v>No points were selected in this section.</v>
      </c>
      <c r="G39" s="2122"/>
      <c r="H39" s="2122"/>
      <c r="I39" s="2122"/>
      <c r="J39" s="2122"/>
      <c r="K39" s="2122"/>
      <c r="L39" s="2122"/>
      <c r="M39" s="2122"/>
      <c r="N39" s="2123"/>
      <c r="O39" s="2127"/>
      <c r="P39" s="2128"/>
      <c r="Q39" s="2191"/>
      <c r="R39" s="2192"/>
      <c r="S39" s="2192"/>
    </row>
    <row r="40" spans="1:19" s="43" customFormat="1" ht="10.5" customHeight="1">
      <c r="A40" s="1303" t="s">
        <v>4147</v>
      </c>
      <c r="B40" s="1033" t="s">
        <v>4205</v>
      </c>
      <c r="C40" s="1188"/>
      <c r="D40" s="1304"/>
      <c r="E40" s="1359">
        <f>$O$396</f>
        <v>2</v>
      </c>
      <c r="F40" s="2121" t="str">
        <f>$A$410</f>
        <v xml:space="preserve">The applicant agrees to accept up to seven Section 811 PBRA or other DCA RA units.  </v>
      </c>
      <c r="G40" s="2122"/>
      <c r="H40" s="2122"/>
      <c r="I40" s="2122"/>
      <c r="J40" s="2122"/>
      <c r="K40" s="2122"/>
      <c r="L40" s="2122"/>
      <c r="M40" s="2122"/>
      <c r="N40" s="2123"/>
      <c r="O40" s="2127"/>
      <c r="P40" s="2128"/>
      <c r="Q40" s="2191"/>
      <c r="R40" s="2192"/>
      <c r="S40" s="2192"/>
    </row>
    <row r="41" spans="1:19" s="43" customFormat="1" ht="10.5" customHeight="1">
      <c r="A41" s="1305" t="s">
        <v>4150</v>
      </c>
      <c r="B41" s="1306" t="s">
        <v>4206</v>
      </c>
      <c r="C41" s="1307"/>
      <c r="D41" s="1308"/>
      <c r="E41" s="1361">
        <f>$O$414</f>
        <v>0</v>
      </c>
      <c r="F41" s="2133" t="str">
        <f>$A$429</f>
        <v>This is not  a Historic Preservation Project.</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3616</v>
      </c>
      <c r="I45" s="2139"/>
      <c r="J45" s="966">
        <f>'Part VI-Revenues &amp; Expenses'!$O$60</f>
        <v>72</v>
      </c>
      <c r="K45" s="965"/>
      <c r="M45" s="941"/>
      <c r="N45" s="7"/>
      <c r="Q45" s="7"/>
      <c r="R45" s="391"/>
    </row>
    <row r="46" spans="1:19" s="105" customFormat="1" ht="13.5" customHeight="1">
      <c r="A46" s="143"/>
      <c r="B46" s="2140" t="s">
        <v>3617</v>
      </c>
      <c r="C46" s="2140"/>
      <c r="D46" s="2140"/>
      <c r="E46" s="2140"/>
      <c r="F46" s="2140"/>
      <c r="G46" s="934"/>
      <c r="H46" s="1093" t="s">
        <v>3618</v>
      </c>
      <c r="I46" s="1093" t="s">
        <v>3619</v>
      </c>
      <c r="J46" s="934"/>
      <c r="K46" s="1919" t="s">
        <v>3396</v>
      </c>
      <c r="L46" s="1919"/>
      <c r="M46" s="941"/>
      <c r="N46" s="7"/>
      <c r="Q46" s="7"/>
      <c r="R46" s="391"/>
    </row>
    <row r="47" spans="1:19" s="105" customFormat="1" ht="13.5" customHeight="1">
      <c r="B47" s="2140"/>
      <c r="C47" s="2140"/>
      <c r="D47" s="2140"/>
      <c r="E47" s="2140"/>
      <c r="F47" s="2140"/>
      <c r="G47" s="1917" t="s">
        <v>3742</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15</v>
      </c>
      <c r="I49" s="1348"/>
      <c r="K49" s="1094">
        <f>IF(OR('Part VI-Revenues &amp; Expenses'!$O$60="", 'Part VI-Revenues &amp; Expenses'!$O$60=0),0,H49/'Part VI-Revenues &amp; Expenses'!$O$60)</f>
        <v>0.20833333333333334</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3990</v>
      </c>
      <c r="E53" s="1006"/>
      <c r="F53" s="938"/>
      <c r="I53" s="970"/>
      <c r="J53" s="970"/>
      <c r="K53" s="970"/>
      <c r="L53" s="970"/>
      <c r="M53" s="970"/>
      <c r="N53" s="404" t="s">
        <v>2004</v>
      </c>
      <c r="O53" s="2928" t="s">
        <v>4692</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4143</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3883</v>
      </c>
      <c r="D59" s="34"/>
      <c r="N59" s="484"/>
      <c r="O59" s="2929" t="s">
        <v>3011</v>
      </c>
      <c r="P59" s="561"/>
    </row>
    <row r="60" spans="1:18" s="44" customFormat="1" ht="12" customHeight="1">
      <c r="A60" s="143" t="s">
        <v>1999</v>
      </c>
      <c r="B60" s="172" t="s">
        <v>1888</v>
      </c>
      <c r="C60" s="4"/>
      <c r="D60" s="4"/>
      <c r="F60" s="307"/>
      <c r="G60" s="179" t="s">
        <v>2736</v>
      </c>
      <c r="I60" s="2163" t="s">
        <v>4226</v>
      </c>
      <c r="J60" s="2163"/>
      <c r="K60" s="2163"/>
      <c r="L60" s="2163"/>
      <c r="M60" s="75">
        <v>10</v>
      </c>
      <c r="N60" s="181" t="s">
        <v>1999</v>
      </c>
      <c r="O60" s="2930">
        <v>10</v>
      </c>
      <c r="P60" s="1076"/>
      <c r="Q60" s="1090" t="str">
        <f>IF(OR($O60=$M60,$O60=0,$O60=""),"","*CHECK!*")</f>
        <v/>
      </c>
      <c r="R60" s="1244" t="s">
        <v>2724</v>
      </c>
    </row>
    <row r="61" spans="1:18" s="44" customFormat="1" ht="12.6" customHeight="1">
      <c r="A61" s="143" t="s">
        <v>2001</v>
      </c>
      <c r="B61" s="172" t="s">
        <v>3872</v>
      </c>
      <c r="D61" s="42"/>
      <c r="F61" s="407"/>
      <c r="G61" s="179" t="s">
        <v>4021</v>
      </c>
      <c r="I61" s="2163"/>
      <c r="J61" s="2163"/>
      <c r="K61" s="2163"/>
      <c r="L61" s="2163"/>
      <c r="M61" s="1589" t="s">
        <v>1250</v>
      </c>
      <c r="N61" s="484" t="s">
        <v>2001</v>
      </c>
      <c r="O61" s="2931">
        <v>0</v>
      </c>
      <c r="P61" s="1218"/>
      <c r="R61" s="1244" t="s">
        <v>2724</v>
      </c>
    </row>
    <row r="62" spans="1:18" s="44" customFormat="1" ht="11.25" customHeight="1" thickBot="1">
      <c r="A62" s="43"/>
      <c r="B62" s="1332" t="s">
        <v>3780</v>
      </c>
      <c r="C62" s="43"/>
      <c r="D62" s="49"/>
      <c r="E62" s="49"/>
      <c r="F62" s="49"/>
      <c r="G62" s="49"/>
      <c r="H62" s="37"/>
      <c r="I62" s="2194"/>
      <c r="J62" s="2194"/>
      <c r="K62" s="2194"/>
      <c r="L62" s="2194"/>
      <c r="M62" s="47"/>
      <c r="N62" s="63"/>
      <c r="O62" s="3"/>
      <c r="P62" s="1587"/>
    </row>
    <row r="63" spans="1:18" s="44" customFormat="1" ht="21.75" customHeight="1" thickTop="1" thickBot="1">
      <c r="A63" s="2932" t="s">
        <v>4733</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4133</v>
      </c>
      <c r="S67" s="1985"/>
      <c r="T67" s="1985"/>
      <c r="U67" s="1985"/>
    </row>
    <row r="68" spans="1:21" s="44" customFormat="1" ht="17.25" customHeight="1">
      <c r="A68" s="158"/>
      <c r="B68" s="113" t="s">
        <v>3993</v>
      </c>
      <c r="D68" s="42"/>
      <c r="H68" s="172" t="s">
        <v>2812</v>
      </c>
      <c r="I68" s="539"/>
      <c r="J68" s="537" t="str">
        <f>'Part I-Project Information'!$H$100</f>
        <v>Rural</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9" t="s">
        <v>3011</v>
      </c>
      <c r="P69" s="561"/>
      <c r="Q69" s="112"/>
      <c r="R69" s="1985"/>
      <c r="S69" s="1985"/>
      <c r="T69" s="1985"/>
      <c r="U69" s="1985"/>
    </row>
    <row r="70" spans="1:21" s="44" customFormat="1" ht="11.25" customHeight="1">
      <c r="A70" s="158"/>
      <c r="B70" s="499" t="s">
        <v>2004</v>
      </c>
      <c r="C70" s="56" t="s">
        <v>3991</v>
      </c>
      <c r="D70" s="42"/>
      <c r="H70" s="46"/>
      <c r="I70" s="50"/>
      <c r="J70" s="49"/>
      <c r="K70" s="49"/>
      <c r="N70" s="484"/>
      <c r="O70" s="2935" t="s">
        <v>3011</v>
      </c>
      <c r="P70" s="562"/>
      <c r="Q70" s="112"/>
      <c r="R70" s="1985"/>
      <c r="S70" s="1985"/>
      <c r="T70" s="1985"/>
      <c r="U70" s="1985"/>
    </row>
    <row r="71" spans="1:21" s="44" customFormat="1" ht="11.25" customHeight="1">
      <c r="A71" s="158"/>
      <c r="B71" s="499" t="s">
        <v>2551</v>
      </c>
      <c r="C71" s="56" t="s">
        <v>3992</v>
      </c>
      <c r="D71" s="42"/>
      <c r="H71" s="46"/>
      <c r="I71" s="50"/>
      <c r="J71" s="49"/>
      <c r="K71" s="49"/>
      <c r="N71" s="484"/>
      <c r="O71" s="2928"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4000</v>
      </c>
      <c r="D73" s="42"/>
      <c r="F73" s="2197" t="s">
        <v>3743</v>
      </c>
      <c r="G73" s="2197"/>
      <c r="H73" s="2197"/>
      <c r="I73" s="2197"/>
      <c r="J73" s="2197" t="s">
        <v>3744</v>
      </c>
      <c r="K73" s="2197"/>
      <c r="L73" s="2197"/>
      <c r="M73" s="2197"/>
      <c r="N73" s="484"/>
      <c r="O73" s="2198" t="s">
        <v>4140</v>
      </c>
      <c r="P73" s="2199"/>
      <c r="Q73" s="112"/>
      <c r="R73" s="1985"/>
      <c r="S73" s="1985"/>
      <c r="T73" s="1985"/>
      <c r="U73" s="1985"/>
    </row>
    <row r="74" spans="1:21" s="44" customFormat="1" ht="12.75" customHeight="1">
      <c r="A74" s="158"/>
      <c r="C74" s="512" t="s">
        <v>3999</v>
      </c>
      <c r="D74" s="649"/>
      <c r="E74" s="278"/>
      <c r="F74" s="2936">
        <v>34.180190000000003</v>
      </c>
      <c r="G74" s="2937"/>
      <c r="H74" s="2010"/>
      <c r="I74" s="2011"/>
      <c r="J74" s="2936">
        <v>-84.793903999999998</v>
      </c>
      <c r="K74" s="2937"/>
      <c r="L74" s="2010"/>
      <c r="M74" s="2011"/>
      <c r="N74" s="484"/>
      <c r="Q74" s="112"/>
      <c r="R74" s="1985"/>
      <c r="S74" s="1985"/>
      <c r="T74" s="1985"/>
      <c r="U74" s="1985"/>
    </row>
    <row r="75" spans="1:21" s="44" customFormat="1" ht="12.75" customHeight="1">
      <c r="B75" s="1187"/>
      <c r="D75" s="1272" t="s">
        <v>4001</v>
      </c>
      <c r="E75" s="278"/>
      <c r="F75" s="2938" t="s">
        <v>3188</v>
      </c>
      <c r="G75" s="2939"/>
      <c r="H75" s="2206"/>
      <c r="I75" s="2207"/>
      <c r="J75" s="2938" t="s">
        <v>3188</v>
      </c>
      <c r="K75" s="2939"/>
      <c r="L75" s="2206"/>
      <c r="M75" s="2207"/>
      <c r="N75" s="484"/>
      <c r="O75" s="2940">
        <v>0</v>
      </c>
      <c r="P75" s="1281"/>
      <c r="Q75" s="112"/>
      <c r="R75" s="1985"/>
      <c r="S75" s="1985"/>
      <c r="T75" s="1985"/>
      <c r="U75" s="1985"/>
    </row>
    <row r="76" spans="1:21" s="44" customFormat="1" ht="12.75" customHeight="1">
      <c r="A76" s="2007" t="s">
        <v>4190</v>
      </c>
      <c r="B76" s="2007"/>
      <c r="C76" s="512" t="s">
        <v>4141</v>
      </c>
      <c r="D76" s="649"/>
      <c r="E76" s="278"/>
      <c r="F76" s="2941" t="s">
        <v>3188</v>
      </c>
      <c r="G76" s="2942"/>
      <c r="H76" s="2187"/>
      <c r="I76" s="2188"/>
      <c r="J76" s="2941" t="s">
        <v>3188</v>
      </c>
      <c r="K76" s="2942"/>
      <c r="L76" s="2187"/>
      <c r="M76" s="2188"/>
      <c r="N76" s="484"/>
      <c r="O76" s="2943">
        <v>0</v>
      </c>
      <c r="P76" s="1280"/>
      <c r="Q76" s="112"/>
      <c r="R76" s="1985"/>
      <c r="S76" s="1985"/>
      <c r="T76" s="1985"/>
      <c r="U76" s="1985"/>
    </row>
    <row r="77" spans="1:21" s="44" customFormat="1" ht="12.75" customHeight="1">
      <c r="A77" s="2007"/>
      <c r="B77" s="2007"/>
      <c r="D77" s="1272" t="s">
        <v>4139</v>
      </c>
      <c r="E77" s="278"/>
      <c r="F77" s="2944" t="s">
        <v>3188</v>
      </c>
      <c r="G77" s="2945"/>
      <c r="H77" s="2189"/>
      <c r="I77" s="2190"/>
      <c r="J77" s="2944" t="s">
        <v>3188</v>
      </c>
      <c r="K77" s="2945"/>
      <c r="L77" s="2189"/>
      <c r="M77" s="2190"/>
      <c r="N77" s="484"/>
      <c r="O77" s="2946">
        <v>0</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3885</v>
      </c>
      <c r="I80" s="2200" t="s">
        <v>4137</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3994</v>
      </c>
      <c r="D81" s="1893"/>
      <c r="E81" s="1893"/>
      <c r="F81" s="1893"/>
      <c r="G81" s="1893"/>
      <c r="H81" s="1893"/>
      <c r="I81" s="2200"/>
      <c r="J81" s="2200"/>
      <c r="K81" s="2200"/>
      <c r="L81" s="2200"/>
      <c r="M81" s="534">
        <v>5</v>
      </c>
      <c r="N81" s="499" t="s">
        <v>2002</v>
      </c>
      <c r="O81" s="2947"/>
      <c r="P81" s="913"/>
      <c r="Q81" s="1090" t="str">
        <f>IF(OR($O81=$M81,$O81=0,$O81=""),"","*CHECK!*")</f>
        <v/>
      </c>
      <c r="R81" s="1244" t="s">
        <v>2724</v>
      </c>
    </row>
    <row r="82" spans="1:18" s="427" customFormat="1" ht="12" customHeight="1">
      <c r="A82" s="619" t="s">
        <v>1365</v>
      </c>
      <c r="B82" s="456" t="s">
        <v>2004</v>
      </c>
      <c r="C82" s="405" t="s">
        <v>3995</v>
      </c>
      <c r="D82" s="405"/>
      <c r="E82" s="405"/>
      <c r="F82" s="405"/>
      <c r="G82" s="405"/>
      <c r="H82" s="405"/>
      <c r="I82" s="2200"/>
      <c r="J82" s="2200"/>
      <c r="K82" s="2200"/>
      <c r="L82" s="2200"/>
      <c r="M82" s="534">
        <v>4</v>
      </c>
      <c r="N82" s="499" t="s">
        <v>2004</v>
      </c>
      <c r="O82" s="2930"/>
      <c r="P82" s="1076"/>
      <c r="Q82" s="1090" t="str">
        <f t="shared" ref="Q82:Q83" si="0">IF(OR($O82=$M82,$O82=0,$O82=""),"","*CHECK!*")</f>
        <v/>
      </c>
      <c r="R82" s="1244" t="s">
        <v>2724</v>
      </c>
    </row>
    <row r="83" spans="1:18" s="427" customFormat="1" ht="12" customHeight="1">
      <c r="B83" s="456" t="s">
        <v>2551</v>
      </c>
      <c r="C83" s="405" t="s">
        <v>3774</v>
      </c>
      <c r="D83" s="405"/>
      <c r="E83" s="405"/>
      <c r="F83" s="405"/>
      <c r="G83" s="484" t="s">
        <v>4138</v>
      </c>
      <c r="H83" s="1278" t="str">
        <f>'Part I-Project Information'!$H$78</f>
        <v>HFOP</v>
      </c>
      <c r="I83" s="2948" t="s">
        <v>4673</v>
      </c>
      <c r="J83" s="2949"/>
      <c r="K83" s="2949"/>
      <c r="L83" s="2950" t="s">
        <v>4674</v>
      </c>
      <c r="M83" s="534">
        <v>1</v>
      </c>
      <c r="N83" s="499" t="s">
        <v>2551</v>
      </c>
      <c r="O83" s="2931"/>
      <c r="P83" s="1218"/>
      <c r="Q83" s="1090" t="str">
        <f t="shared" si="0"/>
        <v/>
      </c>
      <c r="R83" s="1244" t="s">
        <v>2724</v>
      </c>
    </row>
    <row r="84" spans="1:18" s="427" customFormat="1" ht="12" customHeight="1">
      <c r="A84" s="148" t="s">
        <v>2001</v>
      </c>
      <c r="B84" s="1243" t="s">
        <v>3775</v>
      </c>
      <c r="C84" s="677"/>
      <c r="D84" s="677"/>
      <c r="E84" s="677"/>
      <c r="F84" s="1213" t="s">
        <v>3884</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3996</v>
      </c>
      <c r="D85" s="2008"/>
      <c r="E85" s="2008"/>
      <c r="F85" s="2008"/>
      <c r="G85" s="2008"/>
      <c r="H85" s="2009"/>
      <c r="I85" s="2954" t="s">
        <v>4675</v>
      </c>
      <c r="J85" s="2955"/>
      <c r="K85" s="2955"/>
      <c r="L85" s="2956"/>
      <c r="M85" s="534">
        <v>3</v>
      </c>
      <c r="N85" s="499" t="s">
        <v>2002</v>
      </c>
      <c r="O85" s="2947"/>
      <c r="P85" s="913"/>
      <c r="Q85" s="1090" t="str">
        <f>IF(OR($O85=$M85,$O85=0,$O85=""),"","*CHECK!*")</f>
        <v/>
      </c>
      <c r="R85" s="1244" t="s">
        <v>2724</v>
      </c>
    </row>
    <row r="86" spans="1:18" s="44" customFormat="1" ht="12" customHeight="1">
      <c r="A86" s="1214" t="s">
        <v>1365</v>
      </c>
      <c r="B86" s="456" t="s">
        <v>2004</v>
      </c>
      <c r="C86" s="2008" t="s">
        <v>3997</v>
      </c>
      <c r="D86" s="2008"/>
      <c r="E86" s="2008"/>
      <c r="F86" s="2008"/>
      <c r="G86" s="2008"/>
      <c r="H86" s="2009"/>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893" t="s">
        <v>3998</v>
      </c>
      <c r="D87" s="1893"/>
      <c r="E87" s="1893"/>
      <c r="F87" s="1893"/>
      <c r="G87" s="1893"/>
      <c r="H87" s="1899"/>
      <c r="I87" s="2954" t="s">
        <v>4675</v>
      </c>
      <c r="J87" s="2955"/>
      <c r="K87" s="2955"/>
      <c r="L87" s="2956"/>
      <c r="M87" s="534">
        <v>1</v>
      </c>
      <c r="N87" s="499" t="s">
        <v>2551</v>
      </c>
      <c r="O87" s="2931"/>
      <c r="P87" s="1218"/>
      <c r="Q87" s="1090" t="str">
        <f t="shared" si="1"/>
        <v/>
      </c>
      <c r="R87" s="1244" t="s">
        <v>2724</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3">
        <v>2</v>
      </c>
      <c r="P89" s="911"/>
      <c r="Q89" s="1090" t="str">
        <f>IF(OR($O89=$M89,$O89=0,$O89=""),"","*CHECK!*")</f>
        <v/>
      </c>
      <c r="R89" s="1244"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82" t="s">
        <v>4006</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3796</v>
      </c>
      <c r="J96" s="2965"/>
      <c r="K96" s="2965"/>
      <c r="L96" s="2966"/>
      <c r="O96" s="2117"/>
      <c r="P96" s="2117"/>
    </row>
    <row r="97" spans="1:18" s="44" customFormat="1" ht="13.5" customHeight="1">
      <c r="B97" s="172" t="s">
        <v>2812</v>
      </c>
      <c r="G97" s="42"/>
      <c r="H97" s="42"/>
      <c r="I97" s="1215" t="str">
        <f>'Part I-Project Information'!$H$100</f>
        <v>Rural</v>
      </c>
      <c r="K97" s="28"/>
      <c r="M97" s="1584"/>
      <c r="N97" s="410"/>
      <c r="O97" s="2117"/>
      <c r="P97" s="2117"/>
    </row>
    <row r="98" spans="1:18" s="44" customFormat="1" ht="13.5" customHeight="1">
      <c r="B98" s="172" t="s">
        <v>4003</v>
      </c>
      <c r="G98" s="42"/>
      <c r="H98" s="42"/>
      <c r="I98" s="654"/>
      <c r="K98" s="28"/>
      <c r="M98" s="1584"/>
      <c r="N98" s="410"/>
      <c r="O98" s="2117"/>
      <c r="P98" s="2117"/>
    </row>
    <row r="99" spans="1:18" s="1190" customFormat="1" ht="13.5" customHeight="1">
      <c r="C99" s="1186" t="s">
        <v>4008</v>
      </c>
      <c r="I99" s="2967">
        <v>100</v>
      </c>
      <c r="J99" s="555"/>
      <c r="K99" s="403"/>
      <c r="O99" s="2117"/>
      <c r="P99" s="2117"/>
    </row>
    <row r="100" spans="1:18" s="1190" customFormat="1" ht="13.5" customHeight="1">
      <c r="C100" s="1186" t="s">
        <v>4009</v>
      </c>
      <c r="I100" s="2968">
        <v>137</v>
      </c>
      <c r="J100" s="557"/>
      <c r="K100" s="403"/>
      <c r="O100" s="2184" t="s">
        <v>4017</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3901</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930">
        <v>1</v>
      </c>
      <c r="P103" s="1076"/>
      <c r="Q103" s="1090" t="str">
        <f t="shared" ref="Q103:Q105" si="2">IF(OR($O103=$M103,$O103=0,$O103=""),"","*CHECK!*")</f>
        <v/>
      </c>
      <c r="R103" s="1244" t="s">
        <v>2724</v>
      </c>
    </row>
    <row r="104" spans="1:18" ht="11.45" customHeight="1">
      <c r="A104" s="143" t="s">
        <v>757</v>
      </c>
      <c r="B104" s="184" t="s">
        <v>3902</v>
      </c>
      <c r="D104" s="34"/>
      <c r="E104" s="34"/>
      <c r="F104" s="34"/>
      <c r="K104" s="2185"/>
      <c r="L104" s="2185"/>
      <c r="M104" s="534">
        <v>3</v>
      </c>
      <c r="N104" s="484" t="s">
        <v>757</v>
      </c>
      <c r="O104" s="2930"/>
      <c r="P104" s="1076"/>
      <c r="Q104" s="1090" t="str">
        <f t="shared" si="2"/>
        <v/>
      </c>
      <c r="R104" s="1244" t="s">
        <v>2724</v>
      </c>
    </row>
    <row r="105" spans="1:18" ht="11.45" customHeight="1">
      <c r="A105" s="143" t="s">
        <v>2131</v>
      </c>
      <c r="B105" s="184" t="s">
        <v>3804</v>
      </c>
      <c r="D105" s="34"/>
      <c r="E105" s="34"/>
      <c r="F105" s="139" t="s">
        <v>4018</v>
      </c>
      <c r="J105" s="2969">
        <v>1</v>
      </c>
      <c r="K105" s="2185"/>
      <c r="L105" s="2185"/>
      <c r="M105" s="534">
        <v>1</v>
      </c>
      <c r="N105" s="484" t="s">
        <v>2131</v>
      </c>
      <c r="O105" s="2931">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26.25" customHeight="1" thickTop="1" thickBot="1">
      <c r="A107" s="2970" t="s">
        <v>4731</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4252</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4175</v>
      </c>
      <c r="C116" s="956"/>
      <c r="D116" s="1352"/>
      <c r="E116" s="1352"/>
      <c r="F116" s="1352"/>
      <c r="H116" s="2974" t="s">
        <v>4676</v>
      </c>
      <c r="I116" s="1352"/>
      <c r="J116" s="1352"/>
      <c r="K116" s="1352"/>
      <c r="L116" s="1352"/>
      <c r="M116" s="1593"/>
      <c r="N116" s="181"/>
      <c r="Q116" s="1169"/>
      <c r="R116" s="1169"/>
      <c r="S116" s="1169"/>
      <c r="T116" s="1169"/>
    </row>
    <row r="117" spans="1:20" s="37" customFormat="1" ht="10.5" customHeight="1">
      <c r="A117" s="65"/>
      <c r="C117" s="1291" t="s">
        <v>4176</v>
      </c>
      <c r="D117" s="2975" t="s">
        <v>4677</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4025</v>
      </c>
      <c r="D121" s="179" t="s">
        <v>4146</v>
      </c>
      <c r="F121" s="53"/>
      <c r="G121" s="53"/>
      <c r="H121" s="2979" t="s">
        <v>4743</v>
      </c>
      <c r="I121" s="2979"/>
      <c r="J121" s="2979"/>
      <c r="K121" s="2979"/>
      <c r="L121" s="2979"/>
      <c r="M121" s="2979"/>
      <c r="N121" s="2979"/>
      <c r="O121" s="2979"/>
      <c r="P121" s="2979"/>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3808</v>
      </c>
      <c r="O122" s="2980" t="s">
        <v>3011</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3809</v>
      </c>
      <c r="O123" s="2928" t="s">
        <v>3011</v>
      </c>
      <c r="P123" s="563"/>
      <c r="Q123" s="1169"/>
      <c r="R123" s="1169"/>
      <c r="S123" s="1169"/>
      <c r="T123" s="1169"/>
    </row>
    <row r="124" spans="1:20" s="56" customFormat="1" ht="10.5" customHeight="1">
      <c r="A124" s="65"/>
      <c r="C124" s="56" t="s">
        <v>4173</v>
      </c>
      <c r="D124" s="430"/>
      <c r="E124" s="53"/>
      <c r="F124" s="53"/>
      <c r="G124" s="53"/>
      <c r="H124" s="430"/>
      <c r="J124" s="430"/>
      <c r="L124" s="1902" t="s">
        <v>3845</v>
      </c>
      <c r="M124" s="1902"/>
      <c r="N124" s="1902"/>
      <c r="O124" s="2181" t="s">
        <v>3844</v>
      </c>
      <c r="P124" s="2181"/>
      <c r="Q124" s="53"/>
    </row>
    <row r="125" spans="1:20" s="56" customFormat="1" ht="10.5" customHeight="1">
      <c r="A125" s="65"/>
      <c r="B125" s="390"/>
      <c r="C125" s="2981" t="s">
        <v>4679</v>
      </c>
      <c r="D125" s="2982"/>
      <c r="E125" s="2982"/>
      <c r="F125" s="2982"/>
      <c r="G125" s="2982"/>
      <c r="H125" s="2982"/>
      <c r="I125" s="2982"/>
      <c r="J125" s="2982"/>
      <c r="K125" s="2983"/>
      <c r="L125" s="2984" t="s">
        <v>4678</v>
      </c>
      <c r="M125" s="2984"/>
      <c r="N125" s="2984"/>
      <c r="O125" s="2985">
        <v>15</v>
      </c>
      <c r="P125" s="2985"/>
      <c r="Q125" s="1207" t="str">
        <f>IF(O125&gt;15, "Too much!","")</f>
        <v/>
      </c>
    </row>
    <row r="126" spans="1:20" s="56" customFormat="1" ht="10.5" customHeight="1">
      <c r="A126" s="65"/>
      <c r="B126" s="402"/>
      <c r="C126" s="2986" t="s">
        <v>4680</v>
      </c>
      <c r="D126" s="2987"/>
      <c r="E126" s="2987"/>
      <c r="F126" s="2987"/>
      <c r="G126" s="2987"/>
      <c r="H126" s="2987"/>
      <c r="I126" s="2987"/>
      <c r="J126" s="2987"/>
      <c r="K126" s="2988"/>
      <c r="L126" s="2989" t="s">
        <v>4678</v>
      </c>
      <c r="M126" s="2989"/>
      <c r="N126" s="2989"/>
      <c r="O126" s="2990">
        <v>15</v>
      </c>
      <c r="P126" s="2990"/>
      <c r="Q126" s="1207" t="str">
        <f t="shared" ref="Q126:Q128" si="3">IF(O126&gt;15, "Too much!","")</f>
        <v/>
      </c>
    </row>
    <row r="127" spans="1:20" s="56" customFormat="1" ht="10.5" customHeight="1">
      <c r="A127" s="65"/>
      <c r="B127" s="390"/>
      <c r="C127" s="2986" t="s">
        <v>4681</v>
      </c>
      <c r="D127" s="2987"/>
      <c r="E127" s="2987"/>
      <c r="F127" s="2987"/>
      <c r="G127" s="2987"/>
      <c r="H127" s="2987"/>
      <c r="I127" s="2987"/>
      <c r="J127" s="2987"/>
      <c r="K127" s="2988"/>
      <c r="L127" s="2989" t="s">
        <v>4678</v>
      </c>
      <c r="M127" s="2989"/>
      <c r="N127" s="2989"/>
      <c r="O127" s="2990">
        <v>0</v>
      </c>
      <c r="P127" s="2990"/>
      <c r="Q127" s="1207" t="str">
        <f t="shared" si="3"/>
        <v/>
      </c>
    </row>
    <row r="128" spans="1:20" s="56" customFormat="1" ht="10.5" customHeight="1">
      <c r="A128" s="65"/>
      <c r="B128" s="401"/>
      <c r="C128" s="2991" t="s">
        <v>4682</v>
      </c>
      <c r="D128" s="2992"/>
      <c r="E128" s="2992"/>
      <c r="F128" s="2992"/>
      <c r="G128" s="2992"/>
      <c r="H128" s="2992"/>
      <c r="I128" s="2992"/>
      <c r="J128" s="2992"/>
      <c r="K128" s="2993"/>
      <c r="L128" s="2994" t="s">
        <v>4678</v>
      </c>
      <c r="M128" s="2994"/>
      <c r="N128" s="2994"/>
      <c r="O128" s="2995">
        <v>0</v>
      </c>
      <c r="P128" s="2995"/>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3808</v>
      </c>
      <c r="O129" s="2929" t="s">
        <v>3011</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3809</v>
      </c>
      <c r="O130" s="2928" t="s">
        <v>3011</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929" t="s">
        <v>3011</v>
      </c>
      <c r="H132" s="561"/>
      <c r="I132" s="956" t="s">
        <v>4210</v>
      </c>
      <c r="L132" s="65"/>
      <c r="M132" s="65"/>
      <c r="N132" s="65"/>
      <c r="O132" s="2929" t="s">
        <v>3011</v>
      </c>
      <c r="P132" s="561"/>
      <c r="Q132" s="53"/>
    </row>
    <row r="133" spans="1:21" s="56" customFormat="1" ht="10.5" customHeight="1">
      <c r="A133" s="65"/>
      <c r="B133" s="65"/>
      <c r="C133" s="956" t="s">
        <v>4537</v>
      </c>
      <c r="D133" s="65"/>
      <c r="E133" s="65"/>
      <c r="F133" s="65"/>
      <c r="G133" s="2935" t="s">
        <v>3011</v>
      </c>
      <c r="H133" s="562"/>
      <c r="I133" s="53" t="s">
        <v>4211</v>
      </c>
      <c r="L133" s="65"/>
      <c r="M133" s="65"/>
      <c r="N133" s="65"/>
      <c r="O133" s="2935" t="s">
        <v>3011</v>
      </c>
      <c r="P133" s="562"/>
      <c r="Q133" s="53"/>
    </row>
    <row r="134" spans="1:21" s="56" customFormat="1" ht="10.5" customHeight="1">
      <c r="A134" s="65"/>
      <c r="B134" s="65"/>
      <c r="C134" s="956" t="s">
        <v>4209</v>
      </c>
      <c r="D134" s="65"/>
      <c r="E134" s="65"/>
      <c r="F134" s="65"/>
      <c r="G134" s="2935" t="s">
        <v>3011</v>
      </c>
      <c r="H134" s="562"/>
      <c r="I134" s="956" t="s">
        <v>4212</v>
      </c>
      <c r="L134" s="65"/>
      <c r="M134" s="65"/>
      <c r="N134" s="65"/>
      <c r="O134" s="2935" t="s">
        <v>3011</v>
      </c>
      <c r="P134" s="562"/>
      <c r="Q134" s="53"/>
    </row>
    <row r="135" spans="1:21" s="56" customFormat="1" ht="10.5" customHeight="1">
      <c r="A135" s="65"/>
      <c r="B135" s="65"/>
      <c r="C135" s="2996" t="s">
        <v>4683</v>
      </c>
      <c r="D135" s="2997"/>
      <c r="E135" s="2997"/>
      <c r="F135" s="2998"/>
      <c r="G135" s="2928" t="s">
        <v>3011</v>
      </c>
      <c r="H135" s="1292"/>
      <c r="I135" s="2996" t="s">
        <v>4213</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3846</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8" t="s">
        <v>4635</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3808</v>
      </c>
      <c r="O139" s="2980" t="s">
        <v>3011</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3809</v>
      </c>
      <c r="O140" s="2935" t="s">
        <v>3011</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3810</v>
      </c>
      <c r="O141" s="2935" t="s">
        <v>3011</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3812</v>
      </c>
      <c r="O142" s="2935" t="s">
        <v>3011</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3813</v>
      </c>
      <c r="O143" s="2928" t="s">
        <v>3011</v>
      </c>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999" t="s">
        <v>3011</v>
      </c>
      <c r="P144" s="560"/>
      <c r="Q144" s="53"/>
    </row>
    <row r="145" spans="1:18" s="56" customFormat="1" ht="10.5" customHeight="1">
      <c r="A145" s="65"/>
      <c r="B145" s="456"/>
      <c r="C145" s="56" t="s">
        <v>3861</v>
      </c>
      <c r="D145" s="430"/>
      <c r="E145" s="53"/>
      <c r="F145" s="53"/>
      <c r="G145" s="56" t="s">
        <v>4179</v>
      </c>
      <c r="H145" s="430"/>
      <c r="M145" s="59"/>
      <c r="N145" s="59"/>
      <c r="O145" s="59"/>
      <c r="P145" s="59"/>
      <c r="Q145" s="53"/>
    </row>
    <row r="146" spans="1:18" s="56" customFormat="1" ht="10.5" customHeight="1">
      <c r="A146" s="65"/>
      <c r="B146" s="390"/>
      <c r="C146" s="2981" t="s">
        <v>4684</v>
      </c>
      <c r="D146" s="2982"/>
      <c r="E146" s="2982"/>
      <c r="F146" s="2983"/>
      <c r="G146" s="2981" t="s">
        <v>4688</v>
      </c>
      <c r="H146" s="2982"/>
      <c r="I146" s="2982"/>
      <c r="J146" s="2982"/>
      <c r="K146" s="2982"/>
      <c r="L146" s="2982"/>
      <c r="M146" s="2982"/>
      <c r="N146" s="2982"/>
      <c r="O146" s="2982"/>
      <c r="P146" s="2983"/>
      <c r="Q146" s="53"/>
    </row>
    <row r="147" spans="1:18" s="56" customFormat="1" ht="10.5" customHeight="1">
      <c r="A147" s="65"/>
      <c r="B147" s="402"/>
      <c r="C147" s="2986" t="s">
        <v>4685</v>
      </c>
      <c r="D147" s="2987"/>
      <c r="E147" s="2987"/>
      <c r="F147" s="2988"/>
      <c r="G147" s="2986" t="s">
        <v>4689</v>
      </c>
      <c r="H147" s="2987"/>
      <c r="I147" s="2987"/>
      <c r="J147" s="2987"/>
      <c r="K147" s="2987"/>
      <c r="L147" s="2987"/>
      <c r="M147" s="2987"/>
      <c r="N147" s="2987"/>
      <c r="O147" s="2987"/>
      <c r="P147" s="2988"/>
      <c r="Q147" s="53"/>
    </row>
    <row r="148" spans="1:18" s="56" customFormat="1" ht="10.5" customHeight="1">
      <c r="A148" s="2140" t="s">
        <v>4214</v>
      </c>
      <c r="B148" s="2140"/>
      <c r="C148" s="2986" t="s">
        <v>4686</v>
      </c>
      <c r="D148" s="2987"/>
      <c r="E148" s="2987"/>
      <c r="F148" s="2988"/>
      <c r="G148" s="2986" t="s">
        <v>4690</v>
      </c>
      <c r="H148" s="2987"/>
      <c r="I148" s="2987"/>
      <c r="J148" s="2987"/>
      <c r="K148" s="2987"/>
      <c r="L148" s="2987"/>
      <c r="M148" s="2987"/>
      <c r="N148" s="2987"/>
      <c r="O148" s="2987"/>
      <c r="P148" s="2988"/>
      <c r="Q148" s="53"/>
    </row>
    <row r="149" spans="1:18" s="56" customFormat="1" ht="10.5" customHeight="1">
      <c r="A149" s="2140"/>
      <c r="B149" s="2140"/>
      <c r="C149" s="2991" t="s">
        <v>4687</v>
      </c>
      <c r="D149" s="2992"/>
      <c r="E149" s="2992"/>
      <c r="F149" s="2993"/>
      <c r="G149" s="2991" t="s">
        <v>4691</v>
      </c>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4002</v>
      </c>
      <c r="C153" s="1592"/>
      <c r="D153" s="1592"/>
      <c r="E153" s="1592"/>
      <c r="F153" s="1592"/>
      <c r="G153" s="1592"/>
      <c r="H153" s="1592"/>
      <c r="I153" s="1592"/>
      <c r="J153" s="1592"/>
      <c r="K153" s="1592"/>
      <c r="L153" s="1592"/>
      <c r="M153" s="941">
        <v>5</v>
      </c>
      <c r="N153" s="77"/>
      <c r="O153" s="1194">
        <f>O155+O171</f>
        <v>4</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4216</v>
      </c>
      <c r="C158" s="2019"/>
      <c r="D158" s="2019"/>
      <c r="E158" s="53" t="s">
        <v>3852</v>
      </c>
      <c r="F158" s="105"/>
      <c r="G158" s="53"/>
      <c r="H158" s="105"/>
      <c r="I158" s="2975" t="s">
        <v>4706</v>
      </c>
      <c r="J158" s="2976"/>
      <c r="K158" s="2976"/>
      <c r="L158" s="2977"/>
    </row>
    <row r="159" spans="1:18" s="44" customFormat="1" ht="11.25" customHeight="1">
      <c r="A159" s="143"/>
      <c r="B159" s="2019"/>
      <c r="C159" s="2019"/>
      <c r="D159" s="2019"/>
      <c r="E159" s="41" t="s">
        <v>3854</v>
      </c>
      <c r="F159" s="391"/>
      <c r="G159" s="105"/>
      <c r="H159" s="105"/>
      <c r="I159" s="41"/>
      <c r="J159" s="1604"/>
      <c r="K159" s="1604"/>
      <c r="L159" s="1604"/>
      <c r="M159" s="105"/>
      <c r="N159" s="1222"/>
      <c r="O159" s="3000" t="s">
        <v>4692</v>
      </c>
      <c r="P159" s="559"/>
      <c r="Q159" s="138"/>
    </row>
    <row r="160" spans="1:18" s="44" customFormat="1" ht="12" customHeight="1">
      <c r="A160" s="43"/>
      <c r="C160" s="1592"/>
      <c r="D160" s="1592"/>
      <c r="E160" s="53" t="s">
        <v>2924</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3850</v>
      </c>
      <c r="I161" s="2202" t="s">
        <v>3895</v>
      </c>
      <c r="J161" s="2203"/>
      <c r="K161" s="2203"/>
      <c r="L161" s="2204"/>
      <c r="M161" s="2034" t="s">
        <v>3849</v>
      </c>
      <c r="N161" s="2034"/>
      <c r="O161" s="2034" t="s">
        <v>3853</v>
      </c>
      <c r="P161" s="2034"/>
      <c r="Q161" s="138"/>
    </row>
    <row r="162" spans="1:24" s="44" customFormat="1" ht="13.5" customHeight="1">
      <c r="A162" s="143"/>
      <c r="B162" s="584" t="s">
        <v>3847</v>
      </c>
      <c r="C162" s="1604"/>
      <c r="D162" s="2035" t="s">
        <v>3851</v>
      </c>
      <c r="E162" s="2035"/>
      <c r="F162" s="2035"/>
      <c r="G162" s="1608" t="s">
        <v>3420</v>
      </c>
      <c r="H162" s="2033"/>
      <c r="I162" s="544">
        <v>2014</v>
      </c>
      <c r="J162" s="544">
        <v>2015</v>
      </c>
      <c r="K162" s="544">
        <v>2016</v>
      </c>
      <c r="L162" s="544">
        <v>2017</v>
      </c>
      <c r="M162" s="2034"/>
      <c r="N162" s="2034"/>
      <c r="O162" s="2034"/>
      <c r="P162" s="2034"/>
      <c r="Q162" s="2193" t="s">
        <v>3848</v>
      </c>
      <c r="R162" s="2193"/>
    </row>
    <row r="163" spans="1:24" s="44" customFormat="1" ht="13.5" customHeight="1">
      <c r="A163" s="390" t="s">
        <v>2451</v>
      </c>
      <c r="B163" s="626" t="s">
        <v>4040</v>
      </c>
      <c r="D163" s="3001" t="s">
        <v>4693</v>
      </c>
      <c r="E163" s="3002"/>
      <c r="F163" s="3003"/>
      <c r="G163" s="3004" t="s">
        <v>4694</v>
      </c>
      <c r="H163" s="3005" t="s">
        <v>3014</v>
      </c>
      <c r="I163" s="3006"/>
      <c r="J163" s="3007">
        <v>76.8</v>
      </c>
      <c r="K163" s="3007">
        <v>84.3</v>
      </c>
      <c r="L163" s="3008">
        <v>80.5</v>
      </c>
      <c r="M163" s="2030">
        <f>IF(I163+J163+K163+L163=0,"",AVERAGE(I163,J163,K163,L163))</f>
        <v>80.533333333333331</v>
      </c>
      <c r="N163" s="2031"/>
      <c r="O163" s="662" t="str">
        <f>IF(M163="","",IF(M163&gt;Q163,"Yes",IF(M163&lt;Q163,"No","")))</f>
        <v>Yes</v>
      </c>
      <c r="Q163" s="2078">
        <v>73.400000000000006</v>
      </c>
      <c r="R163" s="2079"/>
      <c r="S163" s="55"/>
    </row>
    <row r="164" spans="1:24" s="44" customFormat="1" ht="13.5" customHeight="1">
      <c r="A164" s="402" t="s">
        <v>2452</v>
      </c>
      <c r="B164" s="626" t="s">
        <v>4215</v>
      </c>
      <c r="D164" s="3009" t="s">
        <v>4695</v>
      </c>
      <c r="E164" s="3010"/>
      <c r="F164" s="3011"/>
      <c r="G164" s="3012" t="s">
        <v>4696</v>
      </c>
      <c r="H164" s="3013" t="s">
        <v>3014</v>
      </c>
      <c r="I164" s="3014"/>
      <c r="J164" s="3015">
        <v>78.7</v>
      </c>
      <c r="K164" s="3015">
        <v>79.3</v>
      </c>
      <c r="L164" s="3016">
        <v>74.5</v>
      </c>
      <c r="M164" s="2028">
        <f>IF(I164+J164+K164+L164=0,"",AVERAGE(I164,J164,K164,L164))</f>
        <v>77.5</v>
      </c>
      <c r="N164" s="2029"/>
      <c r="O164" s="663" t="str">
        <f>IF(M164="","",IF(M164&gt;Q164,"Yes",IF(M164&lt;Q164,"No","")))</f>
        <v>Yes</v>
      </c>
      <c r="Q164" s="2078">
        <v>72.099999999999994</v>
      </c>
      <c r="R164" s="2079"/>
      <c r="S164" s="55"/>
    </row>
    <row r="165" spans="1:24" s="44" customFormat="1" ht="13.5" customHeight="1">
      <c r="A165" s="390" t="s">
        <v>2453</v>
      </c>
      <c r="B165" s="626" t="s">
        <v>4038</v>
      </c>
      <c r="D165" s="3017" t="s">
        <v>4697</v>
      </c>
      <c r="E165" s="3018"/>
      <c r="F165" s="3019"/>
      <c r="G165" s="3020" t="s">
        <v>4698</v>
      </c>
      <c r="H165" s="3021" t="s">
        <v>3014</v>
      </c>
      <c r="I165" s="3022"/>
      <c r="J165" s="3023">
        <v>80.599999999999994</v>
      </c>
      <c r="K165" s="3023">
        <v>76.7</v>
      </c>
      <c r="L165" s="3024">
        <v>82.9</v>
      </c>
      <c r="M165" s="2026">
        <f>IF(I165+J165+K165+L165=0,"",AVERAGE(I165,J165,K165,L165))</f>
        <v>80.066666666666677</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4040</v>
      </c>
      <c r="D167" s="443" t="str">
        <f>IF(D163="","",D163)</f>
        <v>Cartersville Elementary School</v>
      </c>
      <c r="G167" s="544" t="str">
        <f t="shared" ref="G167:H169" si="4">IF(G163="","",G163)</f>
        <v>3-5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4039</v>
      </c>
      <c r="D168" s="443" t="str">
        <f>IF(D164="","",D164)</f>
        <v>Cartersville Middle School</v>
      </c>
      <c r="G168" s="544" t="str">
        <f t="shared" si="4"/>
        <v>6-8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4038</v>
      </c>
      <c r="D169" s="443" t="str">
        <f>IF(D165="","",D165)</f>
        <v>Cartersville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4042</v>
      </c>
      <c r="C171" s="95"/>
      <c r="D171" s="1191"/>
      <c r="E171" s="1191"/>
      <c r="F171" s="62" t="s">
        <v>3413</v>
      </c>
      <c r="H171" s="41" t="s">
        <v>3896</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4218</v>
      </c>
      <c r="F172" s="2046" t="s">
        <v>3686</v>
      </c>
      <c r="G172" s="2048" t="s">
        <v>3421</v>
      </c>
      <c r="H172" s="2048"/>
      <c r="I172" s="2048"/>
      <c r="J172" s="2048"/>
      <c r="K172" s="2048"/>
      <c r="L172" s="2048"/>
      <c r="M172" s="2048"/>
      <c r="N172" s="2048"/>
      <c r="P172" s="1224"/>
      <c r="R172" s="430" t="s">
        <v>2851</v>
      </c>
      <c r="T172" s="2042" t="str">
        <f>'Part I-Project Information'!$F$38</f>
        <v>Cartersville</v>
      </c>
      <c r="U172" s="2043"/>
      <c r="V172" s="2043"/>
      <c r="W172" s="2043"/>
      <c r="X172" s="2044"/>
    </row>
    <row r="173" spans="1:24" s="56" customFormat="1" ht="13.5" customHeight="1">
      <c r="A173" s="48"/>
      <c r="B173" s="2056" t="s">
        <v>4045</v>
      </c>
      <c r="C173" s="2056"/>
      <c r="D173" s="2056"/>
      <c r="E173" s="2186"/>
      <c r="F173" s="2186"/>
      <c r="G173" s="2047" t="s">
        <v>4044</v>
      </c>
      <c r="H173" s="2047"/>
      <c r="I173" s="2047"/>
      <c r="J173" s="2047"/>
      <c r="K173" s="2047"/>
      <c r="L173" s="2047"/>
      <c r="M173" s="2047"/>
      <c r="N173" s="2047"/>
      <c r="O173" s="2046" t="s">
        <v>3687</v>
      </c>
      <c r="P173" s="2046"/>
      <c r="R173" s="59" t="s">
        <v>2852</v>
      </c>
      <c r="T173" s="2039" t="str">
        <f>'Part I-Project Information'!$J$39</f>
        <v>Bartow</v>
      </c>
      <c r="U173" s="2040"/>
      <c r="V173" s="2040"/>
      <c r="W173" s="2040"/>
      <c r="X173" s="2041"/>
    </row>
    <row r="174" spans="1:24" s="56" customFormat="1" ht="13.5" customHeight="1">
      <c r="A174" s="48"/>
      <c r="B174" s="2052" t="s">
        <v>3856</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Atlanta-Sandy Springs-Marietta</v>
      </c>
      <c r="U174" s="2040"/>
      <c r="V174" s="2040"/>
      <c r="W174" s="2040"/>
      <c r="X174" s="2041"/>
    </row>
    <row r="175" spans="1:24" s="37" customFormat="1" ht="13.5" customHeight="1">
      <c r="A175" s="48"/>
      <c r="B175" s="2082" t="s">
        <v>4043</v>
      </c>
      <c r="C175" s="2082"/>
      <c r="D175" s="2082"/>
      <c r="E175" s="1607">
        <v>4500</v>
      </c>
      <c r="F175" s="1607">
        <v>9000</v>
      </c>
      <c r="G175" s="2025">
        <v>22500</v>
      </c>
      <c r="H175" s="2025"/>
      <c r="I175" s="2025"/>
      <c r="J175" s="2025"/>
      <c r="K175" s="2025"/>
      <c r="L175" s="2025"/>
      <c r="M175" s="2025"/>
      <c r="N175" s="2025"/>
      <c r="O175" s="2025">
        <v>30000</v>
      </c>
      <c r="P175" s="2025"/>
      <c r="R175" s="41" t="s">
        <v>3889</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3890</v>
      </c>
      <c r="E177" s="958"/>
      <c r="F177" s="958"/>
      <c r="G177" s="958"/>
      <c r="I177" s="3025">
        <v>9000</v>
      </c>
      <c r="J177" s="1256"/>
      <c r="R177" s="56" t="s">
        <v>3652</v>
      </c>
      <c r="T177" s="2053" t="str">
        <f>'Part I-Project Information'!$K$40</f>
        <v>Rural</v>
      </c>
      <c r="U177" s="2054"/>
      <c r="V177" s="2054"/>
      <c r="W177" s="2054"/>
      <c r="X177" s="2055"/>
    </row>
    <row r="178" spans="1:24" s="56" customFormat="1" ht="13.5" customHeight="1">
      <c r="A178" s="961"/>
      <c r="B178" s="443" t="s">
        <v>3651</v>
      </c>
      <c r="H178" s="960" t="str">
        <f>IF(I178&lt;I177,"Threshold not met!","")</f>
        <v/>
      </c>
      <c r="I178" s="3026">
        <v>11752</v>
      </c>
      <c r="J178" s="1257"/>
      <c r="K178" s="1226" t="str">
        <f>IF(J178&lt;J177,"Threshold not met!","")</f>
        <v/>
      </c>
    </row>
    <row r="179" spans="1:24" s="56" customFormat="1" ht="8.25" customHeight="1">
      <c r="A179" s="961"/>
      <c r="B179" s="443"/>
    </row>
    <row r="180" spans="1:24" s="56" customFormat="1" ht="11.25" customHeight="1">
      <c r="B180" s="611" t="s">
        <v>2002</v>
      </c>
      <c r="C180" s="37" t="s">
        <v>4217</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3913</v>
      </c>
      <c r="D182" s="1354"/>
      <c r="E182" s="1354"/>
      <c r="F182" s="1354"/>
      <c r="G182" s="1225"/>
      <c r="I182" s="1275">
        <f>IF(I178="",0,(I178/I177) - 1)</f>
        <v>0.3057777777777777</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1.75" customHeight="1" thickTop="1" thickBot="1">
      <c r="A185" s="2932" t="s">
        <v>4718</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4">
        <v>7</v>
      </c>
      <c r="N189" s="7"/>
      <c r="O189" s="1193">
        <f>O207+O212</f>
        <v>3</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4227</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4181</v>
      </c>
      <c r="D193" s="1942"/>
      <c r="E193" s="1942"/>
      <c r="F193" s="1942"/>
      <c r="G193" s="1942"/>
      <c r="H193" s="1942"/>
      <c r="I193" s="1942"/>
      <c r="J193" s="1102" t="s">
        <v>2451</v>
      </c>
      <c r="K193" s="3027" t="s">
        <v>3011</v>
      </c>
      <c r="L193" s="1343"/>
      <c r="M193" s="3028">
        <v>2</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3630</v>
      </c>
      <c r="D195" s="2019"/>
      <c r="E195" s="2019"/>
      <c r="F195" s="2019"/>
      <c r="G195" s="2019"/>
      <c r="J195" s="390" t="s">
        <v>2452</v>
      </c>
      <c r="K195" s="3031" t="s">
        <v>3011</v>
      </c>
      <c r="L195" s="569"/>
      <c r="M195" s="3028" t="s">
        <v>4699</v>
      </c>
      <c r="N195" s="3029"/>
      <c r="O195" s="3029"/>
      <c r="P195" s="3030"/>
    </row>
    <row r="196" spans="1:25" s="406" customFormat="1" ht="10.5" customHeight="1">
      <c r="B196" s="402" t="s">
        <v>2453</v>
      </c>
      <c r="C196" s="1007" t="s">
        <v>2843</v>
      </c>
      <c r="D196" s="1007"/>
      <c r="E196" s="1007"/>
      <c r="F196" s="1007"/>
      <c r="G196" s="1007"/>
      <c r="H196" s="1007"/>
      <c r="J196" s="402" t="s">
        <v>2453</v>
      </c>
      <c r="K196" s="3031" t="s">
        <v>3011</v>
      </c>
      <c r="L196" s="569"/>
      <c r="M196" s="3028" t="s">
        <v>4700</v>
      </c>
      <c r="N196" s="3029"/>
      <c r="O196" s="3029"/>
      <c r="P196" s="3030"/>
    </row>
    <row r="197" spans="1:25" s="406" customFormat="1" ht="10.5" customHeight="1">
      <c r="B197" s="402" t="s">
        <v>2454</v>
      </c>
      <c r="C197" s="1033" t="s">
        <v>4057</v>
      </c>
      <c r="D197" s="144"/>
      <c r="E197" s="144"/>
      <c r="F197" s="144"/>
      <c r="G197" s="144"/>
      <c r="H197" s="144"/>
      <c r="J197" s="402" t="s">
        <v>2454</v>
      </c>
      <c r="K197" s="3031" t="s">
        <v>3011</v>
      </c>
      <c r="L197" s="569"/>
      <c r="M197" s="3028" t="s">
        <v>4708</v>
      </c>
      <c r="N197" s="3029"/>
      <c r="O197" s="3029"/>
      <c r="P197" s="3030"/>
    </row>
    <row r="198" spans="1:25" s="406" customFormat="1" ht="10.5" customHeight="1">
      <c r="B198" s="1102"/>
      <c r="D198" s="144" t="s">
        <v>4225</v>
      </c>
      <c r="E198" s="144"/>
      <c r="H198" s="144"/>
      <c r="J198" s="1102"/>
      <c r="K198" s="3032" t="s">
        <v>3011</v>
      </c>
      <c r="L198" s="571"/>
    </row>
    <row r="199" spans="1:25" s="406" customFormat="1" ht="10.5" customHeight="1">
      <c r="B199" s="402" t="s">
        <v>2455</v>
      </c>
      <c r="C199" s="1007" t="s">
        <v>4047</v>
      </c>
      <c r="D199" s="1007"/>
      <c r="E199" s="1007"/>
      <c r="F199" s="1007"/>
      <c r="G199" s="1007"/>
      <c r="H199" s="1007"/>
      <c r="J199" s="402" t="s">
        <v>2455</v>
      </c>
      <c r="K199" s="3031" t="s">
        <v>3011</v>
      </c>
      <c r="L199" s="569"/>
      <c r="M199" s="3028" t="s">
        <v>4701</v>
      </c>
      <c r="N199" s="3029"/>
      <c r="O199" s="3029"/>
      <c r="P199" s="3030"/>
    </row>
    <row r="200" spans="1:25" s="406" customFormat="1" ht="10.5" customHeight="1">
      <c r="B200" s="1102" t="s">
        <v>2471</v>
      </c>
      <c r="C200" s="1007" t="s">
        <v>2844</v>
      </c>
      <c r="D200" s="1007"/>
      <c r="E200" s="1007"/>
      <c r="F200" s="1007"/>
      <c r="G200" s="1007"/>
      <c r="J200" s="1102" t="s">
        <v>2471</v>
      </c>
      <c r="K200" s="3031" t="s">
        <v>3011</v>
      </c>
      <c r="L200" s="569"/>
      <c r="M200" s="3028" t="s">
        <v>4709</v>
      </c>
      <c r="N200" s="3029"/>
      <c r="O200" s="3029"/>
      <c r="P200" s="3030"/>
    </row>
    <row r="201" spans="1:25" s="406" customFormat="1" ht="10.5" customHeight="1">
      <c r="B201" s="1102" t="s">
        <v>2472</v>
      </c>
      <c r="C201" s="1007" t="s">
        <v>4048</v>
      </c>
      <c r="D201" s="1007"/>
      <c r="E201" s="1007"/>
      <c r="F201" s="1007"/>
      <c r="J201" s="1102" t="s">
        <v>2472</v>
      </c>
      <c r="K201" s="3031" t="s">
        <v>3014</v>
      </c>
      <c r="L201" s="569"/>
    </row>
    <row r="202" spans="1:25" s="406" customFormat="1" ht="10.5" customHeight="1">
      <c r="B202" s="402"/>
      <c r="C202" s="1007"/>
      <c r="D202" s="1096" t="s">
        <v>4049</v>
      </c>
      <c r="E202" s="1007"/>
      <c r="F202" s="3033"/>
      <c r="G202" s="1345"/>
      <c r="I202" s="1096" t="s">
        <v>4050</v>
      </c>
      <c r="K202" s="3034"/>
      <c r="L202" s="1344"/>
    </row>
    <row r="203" spans="1:25" s="406" customFormat="1" ht="10.5" customHeight="1">
      <c r="B203" s="1102" t="s">
        <v>2473</v>
      </c>
      <c r="C203" s="1007" t="s">
        <v>3807</v>
      </c>
      <c r="D203" s="1007"/>
      <c r="E203" s="1007"/>
      <c r="F203" s="1007"/>
      <c r="J203" s="1102" t="s">
        <v>2473</v>
      </c>
      <c r="K203" s="3027" t="s">
        <v>3011</v>
      </c>
      <c r="L203" s="1343"/>
    </row>
    <row r="204" spans="1:25" ht="3" customHeight="1">
      <c r="A204" s="532"/>
      <c r="B204" s="495"/>
      <c r="D204" s="614"/>
      <c r="E204" s="495"/>
      <c r="G204" s="623"/>
      <c r="H204" s="624"/>
      <c r="I204" s="448"/>
      <c r="K204" s="910"/>
      <c r="N204" s="28"/>
      <c r="O204" s="28"/>
      <c r="P204" s="28"/>
    </row>
    <row r="205" spans="1:25" ht="27.75" customHeight="1">
      <c r="B205" s="1600" t="s">
        <v>4182</v>
      </c>
      <c r="E205" s="34"/>
      <c r="G205" s="3035" t="s">
        <v>4740</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3</v>
      </c>
      <c r="P207" s="575">
        <f>SUM(P208:P209)</f>
        <v>0</v>
      </c>
      <c r="Q207" s="1099"/>
      <c r="X207" s="388"/>
      <c r="Y207" s="390"/>
    </row>
    <row r="208" spans="1:25" ht="21.75" customHeight="1">
      <c r="A208" s="532"/>
      <c r="B208" s="621" t="s">
        <v>2002</v>
      </c>
      <c r="C208" s="2019" t="s">
        <v>3806</v>
      </c>
      <c r="D208" s="2019"/>
      <c r="E208" s="2019"/>
      <c r="F208" s="2019"/>
      <c r="G208" s="2019"/>
      <c r="H208" s="2019"/>
      <c r="I208" s="2019"/>
      <c r="J208" s="2019"/>
      <c r="K208" s="2019"/>
      <c r="L208" s="391" t="str">
        <f>IF(OR($O208=$M208,$O208=0,$O208=""),"","* * Check Score! * *")</f>
        <v/>
      </c>
      <c r="M208" s="1242">
        <v>3</v>
      </c>
      <c r="N208" s="499" t="s">
        <v>2002</v>
      </c>
      <c r="O208" s="2947">
        <v>3</v>
      </c>
      <c r="P208" s="913"/>
      <c r="Q208" s="1090" t="str">
        <f>IF(OR($O208=$M208,$O208=0,$O208=""),"","*CHECK!*")</f>
        <v/>
      </c>
      <c r="R208" s="1086" t="s">
        <v>2724</v>
      </c>
    </row>
    <row r="209" spans="1:23" ht="21.75" customHeight="1">
      <c r="A209" s="532"/>
      <c r="B209" s="621" t="s">
        <v>2004</v>
      </c>
      <c r="C209" s="2013" t="s">
        <v>4056</v>
      </c>
      <c r="D209" s="2013"/>
      <c r="E209" s="2013"/>
      <c r="F209" s="2013"/>
      <c r="G209" s="2013"/>
      <c r="H209" s="2013"/>
      <c r="I209" s="2013"/>
      <c r="J209" s="2013"/>
      <c r="K209" s="2013"/>
      <c r="L209" s="391" t="str">
        <f>IF(OR($O209=$M209,$O209=0,$O209=""),"","* * Check Score! * *")</f>
        <v/>
      </c>
      <c r="M209" s="1242">
        <v>2</v>
      </c>
      <c r="N209" s="499" t="s">
        <v>2004</v>
      </c>
      <c r="O209" s="2931">
        <v>0</v>
      </c>
      <c r="P209" s="1218"/>
      <c r="Q209" s="1090" t="str">
        <f>IF(OR($O209=$M209,$O209=0,$O209=""),"","*CHECK!*")</f>
        <v/>
      </c>
      <c r="R209" s="1086" t="s">
        <v>2724</v>
      </c>
    </row>
    <row r="210" spans="1:23" ht="10.5" customHeight="1">
      <c r="A210" s="532"/>
      <c r="B210" s="495"/>
      <c r="C210" s="495" t="s">
        <v>3805</v>
      </c>
      <c r="D210" s="164"/>
      <c r="E210" s="453" t="str">
        <f>'Part I-Project Information'!$N$39</f>
        <v>No</v>
      </c>
      <c r="G210" s="495" t="s">
        <v>3600</v>
      </c>
      <c r="I210" s="2057" t="str">
        <f>'Part I-Project Information'!$O$38</f>
        <v>9607</v>
      </c>
      <c r="J210" s="2057"/>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3">
        <v>0</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3886</v>
      </c>
      <c r="J214" s="3038"/>
      <c r="K214" s="3039"/>
      <c r="L214" s="3040"/>
      <c r="V214" s="1169"/>
      <c r="W214" s="1169"/>
    </row>
    <row r="215" spans="1:23" s="44" customFormat="1" ht="10.5" customHeight="1">
      <c r="A215" s="182"/>
      <c r="B215" s="495" t="s">
        <v>3887</v>
      </c>
      <c r="I215" s="960" t="str">
        <f>IF($J$215="Government", "Additional documentation required - see QAP.","")</f>
        <v/>
      </c>
      <c r="J215" s="3041" t="s">
        <v>2847</v>
      </c>
      <c r="K215" s="3042"/>
      <c r="L215" s="3043"/>
      <c r="M215" s="1106" t="s">
        <v>3650</v>
      </c>
      <c r="N215" s="1107"/>
      <c r="O215" s="1107"/>
      <c r="P215" s="1108"/>
      <c r="V215" s="1169"/>
      <c r="W215" s="1169"/>
    </row>
    <row r="216" spans="1:23" ht="10.5" customHeight="1">
      <c r="A216" s="183"/>
      <c r="B216" s="495" t="s">
        <v>4241</v>
      </c>
      <c r="F216" s="1258"/>
      <c r="G216" s="1258"/>
      <c r="H216" s="1258"/>
      <c r="L216" s="2978"/>
      <c r="M216" s="3044"/>
      <c r="N216" s="3045"/>
      <c r="O216" s="3045"/>
      <c r="P216" s="3046"/>
      <c r="V216" s="1169"/>
      <c r="W216" s="1169"/>
    </row>
    <row r="217" spans="1:23" ht="10.5" customHeight="1">
      <c r="A217" s="183"/>
      <c r="B217" s="405" t="s">
        <v>3816</v>
      </c>
      <c r="G217" s="405"/>
      <c r="J217" s="3047"/>
      <c r="K217" s="1317" t="s">
        <v>3815</v>
      </c>
      <c r="L217" s="1258"/>
      <c r="V217" s="1169"/>
      <c r="W217" s="1169"/>
    </row>
    <row r="218" spans="1:23" ht="21.75" customHeight="1">
      <c r="A218" s="2087" t="s">
        <v>4222</v>
      </c>
      <c r="B218" s="2085" t="s">
        <v>4219</v>
      </c>
      <c r="C218" s="2086"/>
      <c r="D218" s="3048"/>
      <c r="E218" s="3049"/>
      <c r="F218" s="3049"/>
      <c r="G218" s="3049"/>
      <c r="H218" s="3049"/>
      <c r="I218" s="3049"/>
      <c r="J218" s="3049"/>
      <c r="K218" s="3049"/>
      <c r="L218" s="3049"/>
      <c r="M218" s="3049"/>
      <c r="N218" s="3049"/>
      <c r="O218" s="3049"/>
      <c r="P218" s="3050"/>
      <c r="Q218" s="461"/>
      <c r="V218" s="1169"/>
      <c r="W218" s="1169"/>
    </row>
    <row r="219" spans="1:23" ht="34.5" customHeight="1">
      <c r="A219" s="2088"/>
      <c r="B219" s="2083" t="s">
        <v>4220</v>
      </c>
      <c r="C219" s="2084"/>
      <c r="D219" s="3051"/>
      <c r="E219" s="3052"/>
      <c r="F219" s="3052"/>
      <c r="G219" s="3052"/>
      <c r="H219" s="3052"/>
      <c r="I219" s="3052"/>
      <c r="J219" s="3052"/>
      <c r="K219" s="3052"/>
      <c r="L219" s="3052"/>
      <c r="M219" s="3052"/>
      <c r="N219" s="3052"/>
      <c r="O219" s="3052"/>
      <c r="P219" s="3053"/>
      <c r="Q219" s="461"/>
      <c r="V219" s="1169"/>
      <c r="W219" s="1169"/>
    </row>
    <row r="220" spans="1:23" ht="34.5" customHeight="1">
      <c r="A220" s="2089"/>
      <c r="B220" s="2016" t="s">
        <v>4221</v>
      </c>
      <c r="C220" s="2017"/>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13" t="s">
        <v>2646</v>
      </c>
      <c r="H221" s="2113"/>
      <c r="J221" s="3057"/>
      <c r="K221" s="3058"/>
      <c r="L221" s="2014"/>
      <c r="M221" s="2015"/>
      <c r="V221" s="1169"/>
      <c r="W221" s="1169"/>
    </row>
    <row r="222" spans="1:23" s="44" customFormat="1" ht="10.5" customHeight="1">
      <c r="A222" s="43"/>
      <c r="C222" s="37" t="s">
        <v>3478</v>
      </c>
      <c r="D222" s="1592"/>
      <c r="G222" s="2090">
        <f>'Part IV-A-Uses of Funds'!$G$132</f>
        <v>13449266.200550128</v>
      </c>
      <c r="H222" s="2091"/>
      <c r="J222" s="2080">
        <f>IF($J221=0,0,$J221/$G$222)</f>
        <v>0</v>
      </c>
      <c r="K222" s="2081"/>
      <c r="L222" s="2080">
        <f>IF($L221=0,0,$L221/$G$222)</f>
        <v>0</v>
      </c>
      <c r="M222" s="2081"/>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75" customHeight="1" thickTop="1" thickBot="1">
      <c r="A224" s="2932" t="s">
        <v>4719</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4055</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4058</v>
      </c>
      <c r="D229" s="56" t="s">
        <v>4059</v>
      </c>
      <c r="K229" s="1293">
        <f>$O$189</f>
        <v>3</v>
      </c>
      <c r="L229" s="1294">
        <f>$P$189</f>
        <v>0</v>
      </c>
      <c r="N229" s="484" t="s">
        <v>2451</v>
      </c>
      <c r="O229" s="2929"/>
      <c r="P229" s="1005"/>
      <c r="R229" s="391"/>
    </row>
    <row r="230" spans="1:23" s="44" customFormat="1" ht="11.25" customHeight="1">
      <c r="A230" s="143"/>
      <c r="D230" s="56" t="s">
        <v>4060</v>
      </c>
      <c r="K230" s="1293">
        <f>$O$111</f>
        <v>3</v>
      </c>
      <c r="L230" s="1294">
        <f>$P$111</f>
        <v>0</v>
      </c>
      <c r="N230" s="484" t="s">
        <v>2452</v>
      </c>
      <c r="O230" s="2935"/>
      <c r="P230" s="562"/>
      <c r="R230" s="1169"/>
      <c r="S230" s="1169"/>
    </row>
    <row r="231" spans="1:23" s="44" customFormat="1" ht="11.25" customHeight="1">
      <c r="A231" s="143"/>
      <c r="D231" s="56" t="s">
        <v>4061</v>
      </c>
      <c r="N231" s="484" t="s">
        <v>2453</v>
      </c>
      <c r="O231" s="2928"/>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4065</v>
      </c>
      <c r="D235" s="34"/>
      <c r="G235" s="495" t="s">
        <v>3811</v>
      </c>
      <c r="N235" s="28"/>
      <c r="O235" s="28"/>
      <c r="P235" s="28"/>
      <c r="Q235" s="1099"/>
    </row>
    <row r="236" spans="1:23" s="34" customFormat="1" ht="10.5" customHeight="1">
      <c r="A236" s="532"/>
      <c r="B236" s="139" t="s">
        <v>3891</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4075</v>
      </c>
      <c r="D240" s="2012"/>
      <c r="E240" s="2012"/>
      <c r="F240" s="2012"/>
      <c r="G240" s="2012"/>
      <c r="H240" s="2012"/>
      <c r="I240" s="2012"/>
      <c r="J240" s="2012"/>
      <c r="K240" s="2012"/>
      <c r="L240" s="2012"/>
      <c r="N240" s="404" t="s">
        <v>2002</v>
      </c>
      <c r="O240" s="3067"/>
      <c r="P240" s="1262"/>
      <c r="Q240" s="1096"/>
      <c r="R240" s="28"/>
      <c r="S240" s="1177"/>
      <c r="V240" s="1169"/>
      <c r="W240" s="1169"/>
    </row>
    <row r="241" spans="1:23" s="34" customFormat="1" ht="10.5" customHeight="1">
      <c r="A241" s="532"/>
      <c r="B241" s="484" t="s">
        <v>2451</v>
      </c>
      <c r="C241" s="139" t="s">
        <v>4066</v>
      </c>
      <c r="D241" s="3068"/>
      <c r="E241" s="3069"/>
      <c r="F241" s="3069"/>
      <c r="G241" s="3060"/>
      <c r="H241" s="3070"/>
      <c r="I241" s="1595" t="s">
        <v>2722</v>
      </c>
      <c r="J241" s="3068"/>
      <c r="K241" s="3069"/>
      <c r="L241" s="3069"/>
      <c r="M241" s="3069"/>
      <c r="N241" s="3070"/>
      <c r="O241" s="2114" t="s">
        <v>4068</v>
      </c>
      <c r="P241" s="2115"/>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4067</v>
      </c>
      <c r="D243" s="3068"/>
      <c r="E243" s="3069"/>
      <c r="F243" s="3069"/>
      <c r="G243" s="3060"/>
      <c r="H243" s="3070"/>
      <c r="I243" s="1595" t="s">
        <v>2722</v>
      </c>
      <c r="J243" s="3068"/>
      <c r="K243" s="3069"/>
      <c r="L243" s="3069"/>
      <c r="M243" s="3069"/>
      <c r="N243" s="3070"/>
      <c r="O243" s="2114" t="s">
        <v>4068</v>
      </c>
      <c r="P243" s="2115"/>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4069</v>
      </c>
      <c r="D245" s="1096"/>
      <c r="E245" s="1096"/>
      <c r="F245" s="1096"/>
      <c r="G245" s="495" t="s">
        <v>3811</v>
      </c>
      <c r="H245" s="1096"/>
      <c r="I245" s="1096"/>
      <c r="J245" s="1096"/>
      <c r="K245" s="1096"/>
      <c r="L245" s="1096"/>
      <c r="M245" s="1096"/>
      <c r="N245" s="1096"/>
      <c r="O245" s="540" t="s">
        <v>2527</v>
      </c>
      <c r="P245" s="540" t="s">
        <v>2527</v>
      </c>
      <c r="Q245" s="1096"/>
    </row>
    <row r="246" spans="1:23" ht="21.75" customHeight="1">
      <c r="A246" s="532"/>
      <c r="B246" s="1103"/>
      <c r="C246" s="1942" t="s">
        <v>4184</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4185</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4183</v>
      </c>
      <c r="D251" s="1591"/>
      <c r="E251" s="1591"/>
      <c r="F251" s="1591"/>
      <c r="G251" s="1591"/>
      <c r="H251" s="1591"/>
      <c r="I251" s="1591"/>
      <c r="J251" s="1591"/>
      <c r="K251" s="1591"/>
      <c r="L251" s="2022" t="s">
        <v>4187</v>
      </c>
      <c r="M251" s="2022"/>
      <c r="N251" s="2023" t="s">
        <v>4188</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4074</v>
      </c>
      <c r="D256" s="2012"/>
      <c r="E256" s="2012"/>
      <c r="F256" s="2012"/>
      <c r="G256" s="2012"/>
      <c r="H256" s="2012"/>
      <c r="I256" s="2012"/>
      <c r="J256" s="2012"/>
      <c r="K256" s="2012"/>
      <c r="L256" s="2012"/>
      <c r="M256" s="2012"/>
      <c r="N256" s="404" t="s">
        <v>2551</v>
      </c>
      <c r="O256" s="2999"/>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19" t="s">
        <v>4076</v>
      </c>
      <c r="D258" s="2019"/>
      <c r="E258" s="2019"/>
      <c r="F258" s="2019"/>
      <c r="G258" s="2019"/>
      <c r="H258" s="2019"/>
      <c r="I258" s="2019"/>
      <c r="J258" s="2019"/>
      <c r="K258" s="2019"/>
      <c r="L258" s="2019"/>
      <c r="M258" s="2019"/>
      <c r="N258" s="404" t="s">
        <v>1236</v>
      </c>
      <c r="O258" s="3071"/>
      <c r="P258" s="1261"/>
      <c r="Q258" s="1100"/>
      <c r="V258" s="1169"/>
      <c r="W258" s="1169"/>
    </row>
    <row r="259" spans="1:23" s="34" customFormat="1" ht="10.5" customHeight="1">
      <c r="A259" s="532"/>
      <c r="B259" s="401" t="s">
        <v>2451</v>
      </c>
      <c r="C259" s="2012" t="s">
        <v>4077</v>
      </c>
      <c r="D259" s="2012"/>
      <c r="E259" s="2012"/>
      <c r="F259" s="2012"/>
      <c r="G259" s="2012"/>
      <c r="H259" s="2012"/>
      <c r="I259" s="2012"/>
      <c r="J259" s="2012"/>
      <c r="K259" s="2012"/>
      <c r="L259" s="2012"/>
      <c r="M259" s="2012"/>
      <c r="N259" s="401" t="s">
        <v>2451</v>
      </c>
      <c r="O259" s="2935"/>
      <c r="P259" s="562"/>
      <c r="Q259" s="1100"/>
      <c r="V259" s="1169"/>
      <c r="W259" s="1169"/>
    </row>
    <row r="260" spans="1:23" s="34" customFormat="1" ht="10.5" customHeight="1">
      <c r="A260" s="532"/>
      <c r="B260" s="401" t="s">
        <v>2452</v>
      </c>
      <c r="C260" s="2012" t="s">
        <v>4078</v>
      </c>
      <c r="D260" s="2012"/>
      <c r="E260" s="2012"/>
      <c r="F260" s="2012"/>
      <c r="G260" s="2012"/>
      <c r="H260" s="2012"/>
      <c r="I260" s="2012"/>
      <c r="J260" s="2012"/>
      <c r="K260" s="2012"/>
      <c r="L260" s="2012"/>
      <c r="M260" s="2012"/>
      <c r="N260" s="401" t="s">
        <v>2452</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4071</v>
      </c>
      <c r="D262" s="34"/>
      <c r="G262" s="495" t="s">
        <v>3811</v>
      </c>
      <c r="N262" s="28"/>
      <c r="O262" s="540" t="s">
        <v>2527</v>
      </c>
      <c r="P262" s="540" t="s">
        <v>2527</v>
      </c>
      <c r="Q262" s="1099"/>
    </row>
    <row r="263" spans="1:23" ht="21.75" customHeight="1">
      <c r="A263" s="532"/>
      <c r="B263" s="621" t="s">
        <v>2002</v>
      </c>
      <c r="C263" s="1942" t="s">
        <v>4072</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70" t="s">
        <v>4707</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4229</v>
      </c>
      <c r="M270" s="1584">
        <v>7</v>
      </c>
      <c r="N270" s="7"/>
      <c r="O270" s="1252">
        <f>O272+O280+O282</f>
        <v>3</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3626</v>
      </c>
      <c r="B272" s="921" t="s">
        <v>3624</v>
      </c>
      <c r="C272" s="95"/>
      <c r="D272" s="60"/>
      <c r="E272" s="60"/>
      <c r="H272" s="179"/>
      <c r="M272" s="1235">
        <v>3</v>
      </c>
      <c r="N272" s="2018"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12"/>
      <c r="B273" s="113" t="s">
        <v>2812</v>
      </c>
      <c r="C273" s="536"/>
      <c r="D273" s="536"/>
      <c r="H273" s="537" t="str">
        <f>'Part I-Project Information'!$H$100</f>
        <v>Rural</v>
      </c>
      <c r="N273" s="2018"/>
      <c r="O273" s="1297" t="s">
        <v>2527</v>
      </c>
      <c r="P273" s="1297" t="s">
        <v>2527</v>
      </c>
    </row>
    <row r="274" spans="1:21" ht="11.45" customHeight="1">
      <c r="A274" s="2112"/>
      <c r="B274" s="942" t="s">
        <v>2002</v>
      </c>
      <c r="C274" s="454" t="s">
        <v>2702</v>
      </c>
      <c r="E274" s="120"/>
      <c r="M274" s="83"/>
      <c r="N274" s="2018"/>
      <c r="O274" s="2999" t="s">
        <v>3011</v>
      </c>
      <c r="P274" s="560"/>
      <c r="Q274" s="2074" t="str">
        <f>IF(AND(O274="Yes",O277="Yes"),"Only 1 or 4 can be 'Yes'!","")</f>
        <v/>
      </c>
      <c r="R274" s="2074"/>
    </row>
    <row r="275" spans="1:21" ht="11.45" customHeight="1">
      <c r="B275" s="942" t="s">
        <v>2004</v>
      </c>
      <c r="C275" s="454" t="s">
        <v>2757</v>
      </c>
      <c r="G275" s="103" t="s">
        <v>2405</v>
      </c>
      <c r="H275" s="3072">
        <v>0.1</v>
      </c>
      <c r="I275" s="454" t="s">
        <v>2758</v>
      </c>
      <c r="L275" s="139" t="s">
        <v>2756</v>
      </c>
      <c r="M275" s="944" t="str">
        <f>IF(O275&gt;H275,"CHECK ACTUAL PERCENT!!!","")</f>
        <v/>
      </c>
      <c r="N275" s="181" t="s">
        <v>2004</v>
      </c>
      <c r="O275" s="3073">
        <v>8.5699999999999998E-2</v>
      </c>
      <c r="P275" s="1287"/>
      <c r="Q275" s="2074"/>
      <c r="R275" s="2074"/>
    </row>
    <row r="276" spans="1:21" ht="11.45" customHeight="1">
      <c r="B276" s="942" t="s">
        <v>2551</v>
      </c>
      <c r="C276" s="430" t="s">
        <v>2406</v>
      </c>
      <c r="E276" s="120"/>
      <c r="G276" s="103" t="s">
        <v>2407</v>
      </c>
      <c r="J276" s="2075" t="s">
        <v>4081</v>
      </c>
      <c r="L276" s="448" t="s">
        <v>2750</v>
      </c>
      <c r="M276" s="34"/>
      <c r="N276" s="181" t="s">
        <v>2551</v>
      </c>
      <c r="O276" s="3074" t="s">
        <v>4702</v>
      </c>
      <c r="P276" s="1357" t="s">
        <v>203</v>
      </c>
      <c r="Q276" s="2074"/>
      <c r="R276" s="2074"/>
    </row>
    <row r="277" spans="1:21" s="406" customFormat="1" ht="11.45" customHeight="1">
      <c r="B277" s="621" t="s">
        <v>1236</v>
      </c>
      <c r="C277" s="1942" t="s">
        <v>4080</v>
      </c>
      <c r="D277" s="1942"/>
      <c r="E277" s="1942"/>
      <c r="F277" s="1942"/>
      <c r="G277" s="1942"/>
      <c r="H277" s="1942"/>
      <c r="I277" s="1942"/>
      <c r="J277" s="2077"/>
      <c r="K277" s="2075" t="s">
        <v>4079</v>
      </c>
      <c r="M277" s="1236">
        <v>2</v>
      </c>
      <c r="N277" s="181" t="s">
        <v>1236</v>
      </c>
      <c r="O277" s="3067"/>
      <c r="P277" s="1262"/>
      <c r="Q277" s="2074"/>
      <c r="R277" s="2074"/>
    </row>
    <row r="278" spans="1:21" ht="11.45" customHeight="1">
      <c r="B278" s="389"/>
      <c r="C278" s="1942"/>
      <c r="D278" s="1942"/>
      <c r="E278" s="1942"/>
      <c r="F278" s="1942"/>
      <c r="G278" s="1942"/>
      <c r="H278" s="1942"/>
      <c r="I278" s="1942"/>
      <c r="J278" s="2076"/>
      <c r="K278" s="2076"/>
      <c r="L278" s="2020" t="s">
        <v>4144</v>
      </c>
      <c r="M278" s="202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3077" t="s">
        <v>203</v>
      </c>
      <c r="P281" s="1289" t="s">
        <v>203</v>
      </c>
    </row>
    <row r="282" spans="1:21" ht="11.45" customHeight="1">
      <c r="A282" s="539" t="s">
        <v>2131</v>
      </c>
      <c r="B282" s="942" t="s">
        <v>3627</v>
      </c>
      <c r="C282" s="430"/>
      <c r="E282" s="120"/>
      <c r="G282" s="495" t="s">
        <v>3628</v>
      </c>
      <c r="H282" s="943">
        <f>'Part VI-Revenues &amp; Expenses'!$O$59</f>
        <v>10</v>
      </c>
      <c r="I282" s="1097" t="s">
        <v>3631</v>
      </c>
      <c r="J282" s="943">
        <f>'Part VI-Revenues &amp; Expenses'!$O$62</f>
        <v>72</v>
      </c>
      <c r="K282" s="1097" t="s">
        <v>3632</v>
      </c>
      <c r="L282" s="945">
        <f>IF(J282=0,0,H282/J282)</f>
        <v>0.1388888888888889</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3827</v>
      </c>
      <c r="M286" s="1584">
        <v>10</v>
      </c>
      <c r="N286" s="7"/>
      <c r="O286" s="1194">
        <f>IF(OR(O287="Yes",O288="Yes"),$M$286,0)</f>
        <v>0</v>
      </c>
      <c r="P286" s="1194">
        <f>IF(OR(P287="Yes",P288="Yes"),$M$286,0)</f>
        <v>0</v>
      </c>
      <c r="Q286" s="112" t="s">
        <v>443</v>
      </c>
      <c r="R286" s="44"/>
    </row>
    <row r="287" spans="1:21" ht="11.25" customHeight="1">
      <c r="A287" s="1585" t="s">
        <v>1999</v>
      </c>
      <c r="B287" s="1238" t="s">
        <v>3818</v>
      </c>
      <c r="D287" s="655"/>
      <c r="E287" s="655"/>
      <c r="F287" s="655"/>
      <c r="G287" s="655"/>
      <c r="H287" s="655"/>
      <c r="I287" s="655"/>
      <c r="J287" s="655"/>
      <c r="K287" s="655"/>
      <c r="L287" s="1105"/>
      <c r="M287" s="2072" t="str">
        <f>IF(OR(SUM(T287:T288)&gt;1,SUM(U287:U288)&gt;1),"Only one category can be met by other means!","")</f>
        <v/>
      </c>
      <c r="N287" s="484" t="s">
        <v>1999</v>
      </c>
      <c r="O287" s="2929" t="s">
        <v>4692</v>
      </c>
      <c r="P287" s="561"/>
      <c r="U287" s="1355">
        <f>IF(L287="Yes",1,0)</f>
        <v>0</v>
      </c>
    </row>
    <row r="288" spans="1:21" ht="11.25" customHeight="1">
      <c r="A288" s="1585" t="s">
        <v>2001</v>
      </c>
      <c r="B288" s="1238" t="s">
        <v>3819</v>
      </c>
      <c r="D288" s="655"/>
      <c r="L288" s="1105"/>
      <c r="M288" s="2072"/>
      <c r="N288" s="484" t="s">
        <v>2001</v>
      </c>
      <c r="O288" s="2928" t="s">
        <v>4692</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2" t="s">
        <v>4704</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4">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5" t="s">
        <v>1999</v>
      </c>
      <c r="B295" s="184" t="s">
        <v>4084</v>
      </c>
      <c r="D295" s="34"/>
      <c r="E295" s="34"/>
      <c r="F295" s="34"/>
      <c r="H295" s="89" t="s">
        <v>3709</v>
      </c>
      <c r="I295" s="446"/>
      <c r="J295" s="2110" t="str">
        <f>'Part I-Project Information'!$O$34</f>
        <v>No</v>
      </c>
      <c r="K295" s="2110"/>
      <c r="L295" s="995">
        <f>'Part I-Project Information'!$O$35</f>
        <v>0</v>
      </c>
      <c r="M295" s="75">
        <v>3</v>
      </c>
      <c r="N295" s="484" t="s">
        <v>1999</v>
      </c>
      <c r="O295" s="2963"/>
      <c r="P295" s="912"/>
      <c r="Q295" s="1090" t="str">
        <f>IF(OR($O295=$M295,$O295=0,$O295=""),"","*CHECK!*")</f>
        <v/>
      </c>
      <c r="R295" s="1192" t="s">
        <v>2724</v>
      </c>
    </row>
    <row r="296" spans="1:27" s="103" customFormat="1" ht="21.75" customHeight="1">
      <c r="B296" s="621" t="s">
        <v>2002</v>
      </c>
      <c r="C296" s="2019" t="s">
        <v>4242</v>
      </c>
      <c r="D296" s="2019"/>
      <c r="E296" s="2019"/>
      <c r="F296" s="2019"/>
      <c r="G296" s="2019"/>
      <c r="H296" s="2019"/>
      <c r="I296" s="2019"/>
      <c r="J296" s="2019"/>
      <c r="K296" s="2019"/>
      <c r="L296" s="2019"/>
      <c r="M296" s="2019"/>
      <c r="N296" s="404" t="s">
        <v>2002</v>
      </c>
      <c r="O296" s="3078" t="s">
        <v>4692</v>
      </c>
      <c r="P296" s="1241"/>
      <c r="Q296" s="2073" t="s">
        <v>4243</v>
      </c>
      <c r="R296" s="2019"/>
      <c r="S296" s="2019"/>
      <c r="T296" s="2019"/>
      <c r="U296" s="2019"/>
      <c r="V296" s="2019"/>
      <c r="W296" s="2019"/>
      <c r="X296" s="2019"/>
      <c r="Y296" s="2019"/>
      <c r="Z296" s="2019"/>
      <c r="AA296" s="1098"/>
    </row>
    <row r="297" spans="1:27" s="121" customFormat="1" ht="10.5" customHeight="1">
      <c r="B297" s="942"/>
      <c r="C297" s="139" t="s">
        <v>3833</v>
      </c>
      <c r="H297" s="448" t="s">
        <v>2600</v>
      </c>
      <c r="I297" s="3079"/>
      <c r="J297" s="448" t="s">
        <v>2317</v>
      </c>
      <c r="K297" s="3080"/>
      <c r="L297" s="3081"/>
      <c r="M297" s="3081"/>
      <c r="N297" s="3081"/>
      <c r="O297" s="3081"/>
      <c r="P297" s="3082"/>
    </row>
    <row r="298" spans="1:27" s="121" customFormat="1" ht="10.5" customHeight="1">
      <c r="B298" s="942"/>
      <c r="C298" s="139" t="s">
        <v>3888</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t="s">
        <v>4692</v>
      </c>
      <c r="P299" s="1005"/>
    </row>
    <row r="300" spans="1:27" s="121" customFormat="1" ht="10.5" customHeight="1">
      <c r="B300" s="942" t="s">
        <v>2551</v>
      </c>
      <c r="C300" s="121" t="s">
        <v>973</v>
      </c>
      <c r="M300" s="7"/>
      <c r="N300" s="181" t="s">
        <v>2551</v>
      </c>
      <c r="O300" s="2935" t="s">
        <v>4692</v>
      </c>
      <c r="P300" s="562"/>
    </row>
    <row r="301" spans="1:27" s="121" customFormat="1" ht="10.5" customHeight="1">
      <c r="A301" s="532"/>
      <c r="B301" s="942" t="s">
        <v>1236</v>
      </c>
      <c r="C301" s="121" t="s">
        <v>974</v>
      </c>
      <c r="M301" s="7"/>
      <c r="N301" s="181" t="s">
        <v>1236</v>
      </c>
      <c r="O301" s="2928" t="s">
        <v>4692</v>
      </c>
      <c r="P301" s="563"/>
    </row>
    <row r="302" spans="1:27" s="34" customFormat="1" ht="10.5" customHeight="1">
      <c r="A302" s="1585" t="s">
        <v>2001</v>
      </c>
      <c r="B302" s="184" t="s">
        <v>4085</v>
      </c>
      <c r="D302" s="620"/>
      <c r="H302" s="62" t="s">
        <v>3414</v>
      </c>
    </row>
    <row r="303" spans="1:27" s="34" customFormat="1" ht="10.5" customHeight="1">
      <c r="A303" s="1585"/>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7"/>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5" t="s">
        <v>757</v>
      </c>
      <c r="B306" s="184" t="s">
        <v>4086</v>
      </c>
      <c r="D306" s="620"/>
      <c r="H306" s="62" t="s">
        <v>4089</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17" t="str">
        <f>IF(OR(AND(O308&gt;0,O310&gt;0), AND(O309&gt;0,O310&gt;0), AND(O308&gt;0,O309&gt;0)),"Choose option 1 or 2 or 3!!!","")</f>
        <v/>
      </c>
      <c r="L308" s="2117"/>
      <c r="M308" s="75">
        <v>4</v>
      </c>
      <c r="N308" s="450" t="s">
        <v>2002</v>
      </c>
      <c r="O308" s="2967"/>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117"/>
      <c r="L309" s="2117"/>
      <c r="M309" s="83">
        <v>3</v>
      </c>
      <c r="N309" s="948" t="s">
        <v>2004</v>
      </c>
      <c r="O309" s="3087"/>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17"/>
      <c r="L310" s="2117"/>
      <c r="M310" s="83">
        <v>2</v>
      </c>
      <c r="N310" s="948" t="s">
        <v>2551</v>
      </c>
      <c r="O310" s="2968"/>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2" t="s">
        <v>4703</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928" t="s">
        <v>3014</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4091</v>
      </c>
      <c r="C324" s="90"/>
      <c r="D324" s="59"/>
      <c r="E324" s="53"/>
      <c r="G324" s="56"/>
      <c r="M324" s="1584">
        <v>2</v>
      </c>
      <c r="N324" s="6"/>
      <c r="O324" s="6"/>
      <c r="P324" s="1247">
        <f>P325+P330</f>
        <v>0</v>
      </c>
      <c r="Q324" s="112" t="s">
        <v>443</v>
      </c>
    </row>
    <row r="325" spans="1:18" s="44" customFormat="1" ht="12" customHeight="1">
      <c r="A325" s="143" t="s">
        <v>2001</v>
      </c>
      <c r="B325" s="172" t="s">
        <v>4092</v>
      </c>
      <c r="C325" s="90"/>
      <c r="D325" s="59"/>
      <c r="E325" s="53"/>
      <c r="G325" s="508" t="str">
        <f>'Part VIII-Threshold Criteria'!I357</f>
        <v>Resource Housing Group, Inc.</v>
      </c>
      <c r="J325" s="41" t="s">
        <v>2703</v>
      </c>
      <c r="L325" s="37"/>
      <c r="O325" s="483" t="str">
        <f>'Part I-Project Information'!$H$96</f>
        <v>Yes</v>
      </c>
      <c r="P325" s="558"/>
      <c r="Q325" s="112"/>
    </row>
    <row r="326" spans="1:18" s="105" customFormat="1" ht="10.5" customHeight="1">
      <c r="A326" s="143"/>
      <c r="B326" s="389" t="s">
        <v>2002</v>
      </c>
      <c r="C326" s="37" t="s">
        <v>3483</v>
      </c>
      <c r="D326" s="34"/>
      <c r="N326" s="450" t="s">
        <v>2002</v>
      </c>
      <c r="O326" s="2929" t="s">
        <v>4692</v>
      </c>
      <c r="P326" s="561"/>
      <c r="R326" s="391"/>
    </row>
    <row r="327" spans="1:18" s="105" customFormat="1" ht="10.5" customHeight="1">
      <c r="A327" s="143"/>
      <c r="B327" s="389" t="s">
        <v>2004</v>
      </c>
      <c r="C327" s="37" t="s">
        <v>4111</v>
      </c>
      <c r="D327" s="34"/>
      <c r="N327" s="948" t="s">
        <v>2004</v>
      </c>
      <c r="O327" s="2935" t="s">
        <v>4692</v>
      </c>
      <c r="P327" s="562"/>
      <c r="R327" s="391"/>
    </row>
    <row r="328" spans="1:18" s="105" customFormat="1" ht="10.5" customHeight="1">
      <c r="A328" s="143"/>
      <c r="B328" s="389" t="s">
        <v>2551</v>
      </c>
      <c r="C328" s="37" t="s">
        <v>4110</v>
      </c>
      <c r="D328" s="34"/>
      <c r="N328" s="948" t="s">
        <v>2551</v>
      </c>
      <c r="O328" s="2935" t="s">
        <v>4692</v>
      </c>
      <c r="P328" s="562"/>
      <c r="R328" s="391"/>
    </row>
    <row r="329" spans="1:18" s="105" customFormat="1" ht="10.5" customHeight="1">
      <c r="A329" s="143"/>
      <c r="B329" s="389" t="s">
        <v>1236</v>
      </c>
      <c r="C329" s="37" t="s">
        <v>4112</v>
      </c>
      <c r="D329" s="34"/>
      <c r="N329" s="948" t="s">
        <v>1236</v>
      </c>
      <c r="O329" s="2928" t="s">
        <v>4692</v>
      </c>
      <c r="P329" s="563"/>
      <c r="R329" s="391"/>
    </row>
    <row r="330" spans="1:18" s="44" customFormat="1" ht="12" customHeight="1">
      <c r="A330" s="143" t="s">
        <v>1999</v>
      </c>
      <c r="B330" s="172" t="s">
        <v>4093</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t="s">
        <v>4692</v>
      </c>
      <c r="P331" s="561"/>
      <c r="Q331" s="112"/>
    </row>
    <row r="332" spans="1:18" s="105" customFormat="1" ht="10.5" customHeight="1">
      <c r="A332" s="143"/>
      <c r="B332" s="389" t="s">
        <v>2004</v>
      </c>
      <c r="C332" s="37" t="s">
        <v>4124</v>
      </c>
      <c r="D332" s="34"/>
      <c r="N332" s="948" t="s">
        <v>2004</v>
      </c>
      <c r="O332" s="2935" t="s">
        <v>4692</v>
      </c>
      <c r="P332" s="562"/>
      <c r="R332" s="391"/>
    </row>
    <row r="333" spans="1:18" s="105" customFormat="1" ht="10.5" customHeight="1">
      <c r="A333" s="143"/>
      <c r="B333" s="389" t="s">
        <v>2551</v>
      </c>
      <c r="C333" s="37" t="s">
        <v>4112</v>
      </c>
      <c r="D333" s="34"/>
      <c r="N333" s="948" t="s">
        <v>2551</v>
      </c>
      <c r="O333" s="2928" t="s">
        <v>4692</v>
      </c>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4094</v>
      </c>
      <c r="H337" s="37" t="s">
        <v>3601</v>
      </c>
      <c r="I337" s="1600" t="str">
        <f>'Part I-Project Information'!$H$100</f>
        <v>Rural</v>
      </c>
      <c r="J337" s="1599"/>
      <c r="L337" s="391" t="str">
        <f>IF(OR($O337=$M337,$O337=0,$O337=""),"","* * Check Score! * *")</f>
        <v/>
      </c>
      <c r="M337" s="1584">
        <v>1</v>
      </c>
      <c r="N337" s="410"/>
      <c r="O337" s="3089">
        <v>1</v>
      </c>
      <c r="P337" s="1250"/>
      <c r="Q337" s="112" t="s">
        <v>443</v>
      </c>
      <c r="R337" s="1192" t="s">
        <v>2724</v>
      </c>
    </row>
    <row r="338" spans="1:18" s="64" customFormat="1" ht="12" customHeight="1">
      <c r="A338" s="1892" t="s">
        <v>4192</v>
      </c>
      <c r="B338" s="1892"/>
      <c r="C338" s="1892"/>
      <c r="D338" s="1892"/>
      <c r="E338" s="1892"/>
      <c r="F338" s="1892"/>
      <c r="G338" s="1892"/>
      <c r="H338" s="1892"/>
      <c r="I338" s="2109" t="s">
        <v>4193</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0" t="s">
        <v>4660</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2" t="s">
        <v>4744</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3">
        <v>1</v>
      </c>
      <c r="P347" s="1231"/>
      <c r="Q347" s="1090" t="str">
        <f>IF(OR($O347=$M347,$O347=0,$O347=""),"","*CHECK!*")</f>
        <v/>
      </c>
      <c r="R347" s="1192" t="s">
        <v>2724</v>
      </c>
    </row>
    <row r="348" spans="1:18" s="44" customFormat="1" ht="11.25" customHeight="1">
      <c r="B348" s="41" t="s">
        <v>4098</v>
      </c>
      <c r="D348" s="105"/>
      <c r="E348" s="91"/>
      <c r="F348" s="53"/>
      <c r="G348" s="53"/>
      <c r="H348" s="3092" t="s">
        <v>1032</v>
      </c>
      <c r="I348" s="3061"/>
      <c r="J348" s="3061"/>
      <c r="K348" s="3093"/>
      <c r="N348" s="484" t="s">
        <v>1999</v>
      </c>
      <c r="O348" s="1297" t="s">
        <v>2527</v>
      </c>
      <c r="P348" s="1297" t="s">
        <v>2527</v>
      </c>
    </row>
    <row r="349" spans="1:18" s="121" customFormat="1" ht="10.5" customHeight="1">
      <c r="B349" s="450" t="s">
        <v>2002</v>
      </c>
      <c r="C349" s="448" t="s">
        <v>4095</v>
      </c>
      <c r="N349" s="450" t="s">
        <v>2002</v>
      </c>
      <c r="O349" s="2929" t="s">
        <v>3011</v>
      </c>
      <c r="P349" s="561"/>
    </row>
    <row r="350" spans="1:18" s="121" customFormat="1" ht="10.5" customHeight="1">
      <c r="B350" s="450" t="s">
        <v>2004</v>
      </c>
      <c r="C350" s="448" t="s">
        <v>4096</v>
      </c>
      <c r="N350" s="450" t="s">
        <v>2004</v>
      </c>
      <c r="O350" s="2935" t="s">
        <v>3011</v>
      </c>
      <c r="P350" s="562"/>
    </row>
    <row r="351" spans="1:18" s="121" customFormat="1" ht="10.5" customHeight="1">
      <c r="B351" s="450" t="s">
        <v>2551</v>
      </c>
      <c r="C351" s="448" t="s">
        <v>4097</v>
      </c>
      <c r="N351" s="450" t="s">
        <v>2551</v>
      </c>
      <c r="O351" s="2928" t="s">
        <v>3011</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0" t="s">
        <v>3509</v>
      </c>
      <c r="I354" s="2070"/>
      <c r="J354" s="2070"/>
      <c r="K354" s="2070"/>
      <c r="L354" s="2070"/>
      <c r="M354" s="1236">
        <v>1</v>
      </c>
      <c r="N354" s="67" t="s">
        <v>2001</v>
      </c>
      <c r="O354" s="2973"/>
      <c r="P354" s="1231"/>
      <c r="Q354" s="1090" t="str">
        <f>IF(OR($O354=$M354,$O354=0,$O354=""),"","*CHECK!*")</f>
        <v/>
      </c>
      <c r="R354" s="1192" t="s">
        <v>2724</v>
      </c>
    </row>
    <row r="355" spans="1:19" s="34" customFormat="1" ht="10.5" customHeight="1">
      <c r="B355" s="515" t="s">
        <v>2816</v>
      </c>
      <c r="E355" s="620"/>
      <c r="O355" s="2978" t="s">
        <v>4692</v>
      </c>
      <c r="P355" s="566"/>
      <c r="Q355" s="179"/>
    </row>
    <row r="356" spans="1:19" s="34" customFormat="1" ht="10.5" customHeight="1">
      <c r="A356" s="532"/>
      <c r="B356" s="139" t="s">
        <v>3643</v>
      </c>
      <c r="C356" s="953" t="str">
        <f>'Part I-Project Information'!$F$38</f>
        <v>Cartersville</v>
      </c>
      <c r="E356" s="139" t="s">
        <v>3508</v>
      </c>
      <c r="F356" s="953" t="str">
        <f>'Part I-Project Information'!$J$39</f>
        <v>Bartow</v>
      </c>
      <c r="H356" s="448" t="s">
        <v>455</v>
      </c>
      <c r="I356" s="910" t="str">
        <f>'Part I-Project Information'!$N$39</f>
        <v>No</v>
      </c>
      <c r="K356" s="448" t="s">
        <v>3642</v>
      </c>
      <c r="L356" s="2057" t="str">
        <f>'Part I-Project Information'!$O$38</f>
        <v>9607</v>
      </c>
      <c r="M356" s="2057"/>
      <c r="N356" s="2057"/>
      <c r="O356" s="2057"/>
      <c r="P356" s="2057"/>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932" t="s">
        <v>4705</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4149</v>
      </c>
      <c r="B362" s="108" t="s">
        <v>4101</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1" t="str">
        <f>IF(OR(O364="No",O364="",O365="No",O365="",O366="No",O366="",O367="No",O367=""),"Unmet criterion results in no points!","")</f>
        <v>Unmet criterion results in no points!</v>
      </c>
      <c r="M364" s="2071"/>
      <c r="N364" s="390" t="s">
        <v>2451</v>
      </c>
      <c r="O364" s="2929"/>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3836</v>
      </c>
      <c r="L365" s="2071"/>
      <c r="M365" s="2071"/>
      <c r="N365" s="402" t="s">
        <v>2452</v>
      </c>
      <c r="O365" s="2935"/>
      <c r="P365" s="562"/>
      <c r="R365" s="2069"/>
      <c r="S365" s="2069"/>
    </row>
    <row r="366" spans="1:19" s="103" customFormat="1" ht="10.5" customHeight="1">
      <c r="B366" s="390" t="s">
        <v>2453</v>
      </c>
      <c r="C366" s="446" t="s">
        <v>3835</v>
      </c>
      <c r="L366" s="2071"/>
      <c r="M366" s="2071"/>
      <c r="N366" s="390" t="s">
        <v>2453</v>
      </c>
      <c r="O366" s="2935"/>
      <c r="P366" s="562"/>
      <c r="R366" s="2069"/>
      <c r="S366" s="2069"/>
    </row>
    <row r="367" spans="1:19" s="103" customFormat="1" ht="29.25" customHeight="1">
      <c r="B367" s="402" t="s">
        <v>2454</v>
      </c>
      <c r="C367" s="2012" t="s">
        <v>4102</v>
      </c>
      <c r="D367" s="2012"/>
      <c r="E367" s="2012"/>
      <c r="F367" s="2012"/>
      <c r="G367" s="2012"/>
      <c r="H367" s="2012"/>
      <c r="I367" s="2012"/>
      <c r="J367" s="2012"/>
      <c r="K367" s="2012"/>
      <c r="L367" s="2012"/>
      <c r="M367" s="2012"/>
      <c r="N367" s="402" t="s">
        <v>2454</v>
      </c>
      <c r="O367" s="3094"/>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4103</v>
      </c>
      <c r="L369" s="391" t="str">
        <f>IF(OR($O369=$M369,$O369=0,$O369=""),"","* * Check Score! * *")</f>
        <v/>
      </c>
      <c r="M369" s="1236">
        <v>3</v>
      </c>
      <c r="N369" s="484" t="s">
        <v>1999</v>
      </c>
      <c r="O369" s="2963"/>
      <c r="P369" s="912"/>
      <c r="Q369" s="1090" t="str">
        <f>IF(OR($O369=$M369,$O369=0,$O369=""),"","*CHECK!*")</f>
        <v/>
      </c>
      <c r="R369" s="1192" t="s">
        <v>2724</v>
      </c>
    </row>
    <row r="370" spans="1:18" ht="22.5" customHeight="1">
      <c r="A370" s="1124"/>
      <c r="B370" s="456" t="s">
        <v>2002</v>
      </c>
      <c r="C370" s="2019" t="s">
        <v>4104</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5"/>
      <c r="K371" s="3096"/>
      <c r="L371" s="390" t="s">
        <v>2451</v>
      </c>
      <c r="M371" s="2103"/>
      <c r="N371" s="2104"/>
      <c r="O371" s="2104"/>
      <c r="P371" s="2105"/>
      <c r="R371" s="391"/>
    </row>
    <row r="372" spans="1:18" ht="10.5" customHeight="1">
      <c r="A372" s="183"/>
      <c r="B372" s="402" t="s">
        <v>2452</v>
      </c>
      <c r="C372" s="37" t="s">
        <v>3647</v>
      </c>
      <c r="I372" s="402" t="s">
        <v>2452</v>
      </c>
      <c r="J372" s="3097"/>
      <c r="K372" s="3098"/>
      <c r="L372" s="402" t="s">
        <v>2452</v>
      </c>
      <c r="M372" s="2036"/>
      <c r="N372" s="2037"/>
      <c r="O372" s="2037"/>
      <c r="P372" s="2038"/>
      <c r="R372" s="391"/>
    </row>
    <row r="373" spans="1:18" ht="10.5" customHeight="1">
      <c r="B373" s="390" t="s">
        <v>2453</v>
      </c>
      <c r="C373" s="37" t="s">
        <v>2643</v>
      </c>
      <c r="I373" s="390" t="s">
        <v>2453</v>
      </c>
      <c r="J373" s="3097"/>
      <c r="K373" s="3098"/>
      <c r="L373" s="390" t="s">
        <v>2453</v>
      </c>
      <c r="M373" s="2036"/>
      <c r="N373" s="2037"/>
      <c r="O373" s="2037"/>
      <c r="P373" s="2038"/>
      <c r="R373" s="391"/>
    </row>
    <row r="374" spans="1:18" ht="10.5" customHeight="1">
      <c r="A374" s="183"/>
      <c r="B374" s="390" t="s">
        <v>2454</v>
      </c>
      <c r="C374" s="37" t="s">
        <v>3484</v>
      </c>
      <c r="I374" s="390" t="s">
        <v>2454</v>
      </c>
      <c r="J374" s="3097"/>
      <c r="K374" s="3098"/>
      <c r="L374" s="390" t="s">
        <v>2454</v>
      </c>
      <c r="M374" s="2036"/>
      <c r="N374" s="2037"/>
      <c r="O374" s="2037"/>
      <c r="P374" s="2038"/>
      <c r="R374" s="391"/>
    </row>
    <row r="375" spans="1:18" s="44" customFormat="1" ht="10.5" customHeight="1">
      <c r="A375" s="182"/>
      <c r="B375" s="402" t="s">
        <v>2455</v>
      </c>
      <c r="C375" s="37" t="s">
        <v>2749</v>
      </c>
      <c r="I375" s="402" t="s">
        <v>2455</v>
      </c>
      <c r="J375" s="3097"/>
      <c r="K375" s="3098"/>
      <c r="L375" s="402" t="s">
        <v>2455</v>
      </c>
      <c r="M375" s="2036"/>
      <c r="N375" s="2037"/>
      <c r="O375" s="2037"/>
      <c r="P375" s="2038"/>
      <c r="R375" s="391"/>
    </row>
    <row r="376" spans="1:18" ht="10.5" customHeight="1">
      <c r="B376" s="390" t="s">
        <v>2471</v>
      </c>
      <c r="C376" s="37" t="s">
        <v>1493</v>
      </c>
      <c r="I376" s="390" t="s">
        <v>2471</v>
      </c>
      <c r="J376" s="3097"/>
      <c r="K376" s="3098"/>
      <c r="L376" s="390" t="s">
        <v>2471</v>
      </c>
      <c r="M376" s="2036"/>
      <c r="N376" s="2037"/>
      <c r="O376" s="2037"/>
      <c r="P376" s="2038"/>
      <c r="R376" s="391"/>
    </row>
    <row r="377" spans="1:18" ht="10.5" customHeight="1">
      <c r="A377" s="183"/>
      <c r="B377" s="390" t="s">
        <v>2472</v>
      </c>
      <c r="C377" s="37" t="s">
        <v>3645</v>
      </c>
      <c r="I377" s="390" t="s">
        <v>2472</v>
      </c>
      <c r="J377" s="3097"/>
      <c r="K377" s="3098"/>
      <c r="L377" s="390" t="s">
        <v>2472</v>
      </c>
      <c r="M377" s="2036"/>
      <c r="N377" s="2037"/>
      <c r="O377" s="2037"/>
      <c r="P377" s="2038"/>
      <c r="R377" s="391"/>
    </row>
    <row r="378" spans="1:18" ht="10.5" customHeight="1">
      <c r="A378" s="183"/>
      <c r="B378" s="401" t="s">
        <v>2473</v>
      </c>
      <c r="C378" s="37" t="s">
        <v>4107</v>
      </c>
      <c r="I378" s="401" t="s">
        <v>2473</v>
      </c>
      <c r="J378" s="3097"/>
      <c r="K378" s="3098"/>
      <c r="L378" s="401" t="s">
        <v>2473</v>
      </c>
      <c r="M378" s="2036"/>
      <c r="N378" s="2037"/>
      <c r="O378" s="2037"/>
      <c r="P378" s="2038"/>
      <c r="R378" s="391"/>
    </row>
    <row r="379" spans="1:18" ht="10.5" customHeight="1">
      <c r="B379" s="401" t="s">
        <v>2474</v>
      </c>
      <c r="C379" s="37" t="s">
        <v>3646</v>
      </c>
      <c r="I379" s="401" t="s">
        <v>2474</v>
      </c>
      <c r="J379" s="3097"/>
      <c r="K379" s="3098"/>
      <c r="L379" s="401" t="s">
        <v>2474</v>
      </c>
      <c r="M379" s="2036"/>
      <c r="N379" s="2037"/>
      <c r="O379" s="2037"/>
      <c r="P379" s="2038"/>
      <c r="R379" s="391"/>
    </row>
    <row r="380" spans="1:18" ht="10.5" customHeight="1" thickBot="1">
      <c r="B380" s="401" t="s">
        <v>3648</v>
      </c>
      <c r="C380" s="37" t="s">
        <v>4186</v>
      </c>
      <c r="I380" s="401" t="s">
        <v>3648</v>
      </c>
      <c r="J380" s="3097"/>
      <c r="K380" s="3098"/>
      <c r="L380" s="401" t="s">
        <v>3648</v>
      </c>
      <c r="M380" s="2097"/>
      <c r="N380" s="2098"/>
      <c r="O380" s="2098"/>
      <c r="P380" s="2099"/>
      <c r="R380" s="391"/>
    </row>
    <row r="381" spans="1:18" ht="10.5" customHeight="1" thickBot="1">
      <c r="A381" s="183"/>
      <c r="B381" s="1295" t="s">
        <v>4108</v>
      </c>
      <c r="H381" s="1331" t="s">
        <v>2645</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c r="I383" s="1230"/>
      <c r="J383" s="2065">
        <f>'Part IV-A-Uses of Funds'!$G$132</f>
        <v>13449266.200550128</v>
      </c>
      <c r="K383" s="2066"/>
      <c r="M383" s="526"/>
      <c r="N383" s="526"/>
      <c r="O383" s="164"/>
      <c r="P383" s="526"/>
    </row>
    <row r="384" spans="1:18" ht="10.5" customHeight="1">
      <c r="A384" s="2024" t="s">
        <v>4297</v>
      </c>
      <c r="B384" s="2024"/>
      <c r="C384" s="2024"/>
      <c r="D384" s="2024"/>
      <c r="E384" s="453" t="s">
        <v>2647</v>
      </c>
      <c r="H384" s="3100"/>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4296</v>
      </c>
      <c r="H385" s="3101"/>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892" t="s">
        <v>4105</v>
      </c>
      <c r="D388" s="1892"/>
      <c r="E388" s="1892"/>
      <c r="F388" s="1892"/>
      <c r="G388" s="1892"/>
      <c r="H388" s="1892"/>
      <c r="I388" s="1892"/>
      <c r="J388" s="1892"/>
      <c r="K388" s="1892"/>
      <c r="L388" s="1892"/>
      <c r="M388" s="1892"/>
      <c r="N388" s="402" t="s">
        <v>2451</v>
      </c>
      <c r="O388" s="3102"/>
      <c r="P388" s="1248"/>
      <c r="V388" s="1169"/>
      <c r="W388" s="1169"/>
    </row>
    <row r="389" spans="1:23" s="44" customFormat="1" ht="10.5" customHeight="1">
      <c r="A389" s="143"/>
      <c r="B389" s="390" t="s">
        <v>2452</v>
      </c>
      <c r="C389" s="53" t="s">
        <v>3828</v>
      </c>
      <c r="D389" s="53"/>
      <c r="E389" s="53"/>
      <c r="F389" s="53"/>
      <c r="G389" s="53"/>
      <c r="H389" s="53"/>
      <c r="I389" s="53"/>
      <c r="J389" s="53"/>
      <c r="K389" s="53"/>
      <c r="M389" s="53"/>
      <c r="N389" s="402" t="s">
        <v>2452</v>
      </c>
      <c r="O389" s="2928"/>
      <c r="P389" s="563"/>
      <c r="V389" s="1169"/>
      <c r="W389" s="1169"/>
    </row>
    <row r="390" spans="1:23" ht="10.5" customHeight="1">
      <c r="B390" s="390" t="s">
        <v>2453</v>
      </c>
      <c r="C390" s="446" t="s">
        <v>4106</v>
      </c>
      <c r="N390" s="390" t="s">
        <v>2453</v>
      </c>
      <c r="O390" s="2928"/>
      <c r="P390" s="563"/>
    </row>
    <row r="391" spans="1:23" ht="12" customHeight="1" thickBot="1">
      <c r="B391" s="1332" t="s">
        <v>3780</v>
      </c>
    </row>
    <row r="392" spans="1:23" s="44" customFormat="1" ht="21.75" customHeight="1" thickTop="1" thickBot="1">
      <c r="A392" s="2932" t="s">
        <v>4720</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4147</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3839</v>
      </c>
      <c r="K397" s="1337"/>
      <c r="L397" s="1125">
        <f>'Part VI-Revenues &amp; Expenses'!$O$62*0.1</f>
        <v>7.2</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3838</v>
      </c>
      <c r="D398" s="1893"/>
      <c r="E398" s="1893"/>
      <c r="F398" s="1893"/>
      <c r="G398" s="1893"/>
      <c r="H398" s="1893"/>
      <c r="I398" s="1893"/>
      <c r="J398" s="1338" t="s">
        <v>3841</v>
      </c>
      <c r="K398" s="1334"/>
      <c r="L398" s="1127">
        <f>'Part VI-Revenues &amp; Expenses'!$O$58</f>
        <v>62</v>
      </c>
      <c r="M398" s="2059" t="str">
        <f>IF(L400&lt;L399,"Check 1BR LI count!","")</f>
        <v/>
      </c>
      <c r="N398" s="404" t="s">
        <v>2002</v>
      </c>
      <c r="O398" s="3067" t="s">
        <v>4635</v>
      </c>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6.2</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26</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929" t="s">
        <v>3011</v>
      </c>
      <c r="P401" s="561"/>
    </row>
    <row r="402" spans="1:18" s="451" customFormat="1" ht="11.25" customHeight="1">
      <c r="A402" s="552"/>
      <c r="B402" s="456" t="s">
        <v>2551</v>
      </c>
      <c r="C402" s="405" t="s">
        <v>3840</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58" t="s">
        <v>3837</v>
      </c>
      <c r="D403" s="2058"/>
      <c r="E403" s="2058"/>
      <c r="F403" s="2058"/>
      <c r="G403" s="2058"/>
      <c r="H403" s="2058"/>
      <c r="I403" s="2058"/>
      <c r="J403" s="2058"/>
      <c r="K403" s="2058"/>
      <c r="L403" s="2058"/>
      <c r="M403" s="2058"/>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3860</v>
      </c>
      <c r="D406" s="1893"/>
      <c r="E406" s="1893"/>
      <c r="F406" s="1893"/>
      <c r="G406" s="1893"/>
      <c r="H406" s="1893"/>
      <c r="I406" s="1893"/>
      <c r="J406" s="1893"/>
      <c r="K406" s="1893"/>
      <c r="L406" s="1893"/>
      <c r="M406" s="622"/>
      <c r="N406" s="404" t="s">
        <v>2002</v>
      </c>
      <c r="O406" s="3067"/>
      <c r="P406" s="1262"/>
      <c r="Q406" s="541"/>
      <c r="R406" s="535"/>
    </row>
    <row r="407" spans="1:18" s="427" customFormat="1" ht="11.25" customHeight="1">
      <c r="A407" s="148"/>
      <c r="B407" s="456"/>
      <c r="C407" s="498" t="s">
        <v>3680</v>
      </c>
      <c r="D407" s="1596"/>
      <c r="E407" s="1596"/>
      <c r="F407" s="1596"/>
      <c r="G407" s="3103"/>
      <c r="H407" s="3104"/>
      <c r="I407" s="3105"/>
      <c r="J407" s="1369" t="s">
        <v>3681</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2" t="s">
        <v>4721</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4150</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008" t="s">
        <v>4244</v>
      </c>
      <c r="C419" s="2008"/>
      <c r="D419" s="2008"/>
      <c r="E419" s="2008"/>
      <c r="F419" s="2008"/>
      <c r="G419" s="2008"/>
      <c r="H419" s="2008"/>
      <c r="I419" s="2008"/>
      <c r="J419" s="2008"/>
      <c r="K419" s="2008"/>
      <c r="L419" s="2008"/>
      <c r="M419" s="1893" t="s">
        <v>4246</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72</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3108" t="s">
        <v>4251</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4250</v>
      </c>
      <c r="B425" s="994" t="s">
        <v>3379</v>
      </c>
      <c r="C425" s="144"/>
      <c r="D425" s="924"/>
      <c r="H425" s="405"/>
      <c r="M425" s="428">
        <v>1</v>
      </c>
      <c r="N425" s="166" t="s">
        <v>2001</v>
      </c>
      <c r="O425" s="2963"/>
      <c r="P425" s="912"/>
      <c r="Q425" s="1090" t="str">
        <f>IF(OR($O425=$M425,$O425=0,$O425=""),"","*CHECK!*")</f>
        <v/>
      </c>
      <c r="R425" s="1192" t="s">
        <v>2724</v>
      </c>
    </row>
    <row r="426" spans="1:19" s="427" customFormat="1" ht="11.25" customHeight="1">
      <c r="A426" s="553"/>
      <c r="B426" s="1892" t="s">
        <v>4245</v>
      </c>
      <c r="C426" s="1892"/>
      <c r="D426" s="1892"/>
      <c r="E426" s="1892"/>
      <c r="F426" s="1892"/>
      <c r="G426" s="1892"/>
      <c r="H426" s="1892"/>
      <c r="I426" s="1892"/>
      <c r="J426" s="1892"/>
      <c r="K426" s="1892"/>
      <c r="L426" s="1892"/>
      <c r="M426" s="498" t="s">
        <v>2848</v>
      </c>
      <c r="N426" s="428"/>
      <c r="O426" s="2062">
        <f>'Part VI-Revenues &amp; Expenses'!$O$62</f>
        <v>72</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2" t="s">
        <v>4722</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1"/>
      <c r="P436" s="1251"/>
      <c r="Q436" s="112"/>
    </row>
    <row r="437" spans="1:18" s="105" customFormat="1" ht="10.5" customHeight="1">
      <c r="A437" s="159"/>
      <c r="B437" s="89" t="s">
        <v>3685</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4239</v>
      </c>
      <c r="J442" s="71"/>
      <c r="K442" s="71"/>
      <c r="L442" s="44"/>
      <c r="M442" s="36"/>
      <c r="N442" s="1584"/>
      <c r="O442" s="1584"/>
      <c r="P442" s="482">
        <f>P228</f>
        <v>0</v>
      </c>
    </row>
    <row r="443" spans="1:18" s="43" customFormat="1" ht="11.25" customHeight="1">
      <c r="A443" s="55"/>
      <c r="B443" s="70"/>
      <c r="C443" s="55"/>
      <c r="D443" s="36"/>
      <c r="E443" s="36"/>
      <c r="F443" s="72"/>
      <c r="G443" s="72"/>
      <c r="H443" s="172" t="s">
        <v>4240</v>
      </c>
      <c r="J443" s="71"/>
      <c r="K443" s="71"/>
      <c r="L443" s="44"/>
      <c r="M443" s="36"/>
      <c r="N443" s="1584"/>
      <c r="O443" s="482"/>
      <c r="P443" s="482">
        <f>P324</f>
        <v>0</v>
      </c>
    </row>
    <row r="444" spans="1:18" s="44" customFormat="1" ht="11.25" customHeight="1">
      <c r="A444" s="43"/>
      <c r="D444" s="40"/>
      <c r="E444" s="37"/>
      <c r="F444" s="941"/>
      <c r="H444" s="172" t="s">
        <v>4248</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3715</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3" t="s">
        <v>4745</v>
      </c>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3794</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3792</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3793</v>
      </c>
      <c r="K480" s="469"/>
      <c r="L480" s="1327"/>
      <c r="M480" s="469"/>
      <c r="N480" s="470"/>
      <c r="O480" s="1318">
        <v>1</v>
      </c>
      <c r="P480" s="1318"/>
      <c r="Q480" s="1228"/>
    </row>
    <row r="481" spans="1:17" s="503" customFormat="1">
      <c r="C481" s="1325" t="s">
        <v>2811</v>
      </c>
      <c r="D481" s="469"/>
      <c r="E481" s="469"/>
      <c r="F481" s="469"/>
      <c r="G481" s="1326" t="s">
        <v>3834</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3803</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4016</v>
      </c>
      <c r="K492" s="469"/>
      <c r="L492" s="1327"/>
      <c r="M492" s="469"/>
      <c r="N492" s="470"/>
      <c r="O492" s="1318"/>
      <c r="P492" s="1318"/>
      <c r="Q492" s="1228"/>
    </row>
    <row r="493" spans="1:17" s="503" customFormat="1">
      <c r="C493" s="1325"/>
      <c r="D493" s="469"/>
      <c r="E493" s="469"/>
      <c r="F493" s="469"/>
      <c r="G493" s="1326" t="s">
        <v>337</v>
      </c>
      <c r="H493" s="1324"/>
      <c r="I493" s="1327"/>
      <c r="J493" s="1324" t="s">
        <v>4011</v>
      </c>
      <c r="K493" s="469"/>
      <c r="L493" s="1327"/>
      <c r="M493" s="469"/>
      <c r="N493" s="470"/>
      <c r="O493" s="1318"/>
      <c r="P493" s="1318"/>
      <c r="Q493" s="1228"/>
    </row>
    <row r="494" spans="1:17" s="503" customFormat="1">
      <c r="C494" s="1325"/>
      <c r="D494" s="469"/>
      <c r="E494" s="469"/>
      <c r="F494" s="469"/>
      <c r="G494" s="1326" t="s">
        <v>882</v>
      </c>
      <c r="H494" s="1324"/>
      <c r="I494" s="1327"/>
      <c r="J494" s="1324" t="s">
        <v>3796</v>
      </c>
      <c r="K494" s="1324"/>
      <c r="L494" s="1327"/>
      <c r="M494" s="469"/>
      <c r="N494" s="470"/>
      <c r="O494" s="1318"/>
      <c r="P494" s="1318"/>
      <c r="Q494" s="1228"/>
    </row>
    <row r="495" spans="1:17" s="503" customFormat="1">
      <c r="C495" s="1325"/>
      <c r="D495" s="469"/>
      <c r="E495" s="469"/>
      <c r="F495" s="469"/>
      <c r="G495" s="1326" t="s">
        <v>1939</v>
      </c>
      <c r="H495" s="1327"/>
      <c r="I495" s="1324"/>
      <c r="J495" s="1324" t="s">
        <v>4004</v>
      </c>
      <c r="K495" s="469"/>
      <c r="L495" s="1327"/>
      <c r="M495" s="469"/>
      <c r="N495" s="470"/>
      <c r="O495" s="1318"/>
      <c r="P495" s="1318"/>
      <c r="Q495" s="1228"/>
    </row>
    <row r="496" spans="1:17" s="503" customFormat="1">
      <c r="C496" s="1325"/>
      <c r="D496" s="469"/>
      <c r="E496" s="469"/>
      <c r="F496" s="469"/>
      <c r="G496" s="1326" t="s">
        <v>1943</v>
      </c>
      <c r="H496" s="1327"/>
      <c r="I496" s="1324"/>
      <c r="J496" s="1324" t="s">
        <v>3797</v>
      </c>
      <c r="K496" s="1324"/>
      <c r="L496" s="1327"/>
      <c r="M496" s="469"/>
      <c r="N496" s="470"/>
      <c r="O496" s="1318"/>
      <c r="P496" s="1318"/>
      <c r="Q496" s="1228"/>
    </row>
    <row r="497" spans="3:17" s="503" customFormat="1">
      <c r="C497" s="469"/>
      <c r="D497" s="469"/>
      <c r="E497" s="469"/>
      <c r="F497" s="469"/>
      <c r="G497" s="1326" t="s">
        <v>459</v>
      </c>
      <c r="H497" s="1327"/>
      <c r="I497" s="1324"/>
      <c r="J497" s="1324" t="s">
        <v>4005</v>
      </c>
      <c r="K497" s="469"/>
      <c r="L497" s="1327"/>
      <c r="M497" s="469"/>
      <c r="N497" s="470"/>
      <c r="O497" s="1318"/>
      <c r="P497" s="1318"/>
      <c r="Q497" s="1228"/>
    </row>
    <row r="498" spans="3:17" s="503" customFormat="1">
      <c r="C498" s="469"/>
      <c r="D498" s="469"/>
      <c r="E498" s="469"/>
      <c r="F498" s="469"/>
      <c r="G498" s="1326" t="s">
        <v>3644</v>
      </c>
      <c r="H498" s="1327"/>
      <c r="I498" s="1324"/>
      <c r="J498" s="1324" t="s">
        <v>3798</v>
      </c>
      <c r="K498" s="469"/>
      <c r="L498" s="1324"/>
      <c r="M498" s="469"/>
      <c r="N498" s="470"/>
      <c r="O498" s="1318"/>
      <c r="P498" s="1318"/>
      <c r="Q498" s="1228"/>
    </row>
    <row r="499" spans="3:17" s="503" customFormat="1">
      <c r="C499" s="469"/>
      <c r="D499" s="469"/>
      <c r="E499" s="469"/>
      <c r="F499" s="469"/>
      <c r="G499" s="1326" t="s">
        <v>422</v>
      </c>
      <c r="H499" s="1327"/>
      <c r="I499" s="1324"/>
      <c r="J499" s="1324" t="s">
        <v>4007</v>
      </c>
      <c r="K499" s="469"/>
      <c r="L499" s="1327"/>
      <c r="M499" s="469"/>
      <c r="N499" s="470"/>
      <c r="O499" s="1318"/>
      <c r="P499" s="1318"/>
      <c r="Q499" s="1228"/>
    </row>
    <row r="500" spans="3:17" s="503" customFormat="1">
      <c r="C500" s="469"/>
      <c r="D500" s="469"/>
      <c r="E500" s="469"/>
      <c r="F500" s="469"/>
      <c r="G500" s="1326" t="s">
        <v>236</v>
      </c>
      <c r="H500" s="1327"/>
      <c r="I500" s="1324"/>
      <c r="J500" s="1324" t="s">
        <v>4012</v>
      </c>
      <c r="K500" s="469"/>
      <c r="L500" s="1327"/>
      <c r="M500" s="469"/>
      <c r="N500" s="470"/>
      <c r="O500" s="1318"/>
      <c r="P500" s="1318"/>
      <c r="Q500" s="1228"/>
    </row>
    <row r="501" spans="3:17" s="503" customFormat="1">
      <c r="C501" s="469"/>
      <c r="D501" s="469"/>
      <c r="E501" s="469"/>
      <c r="F501" s="469"/>
      <c r="G501" s="1326" t="s">
        <v>1233</v>
      </c>
      <c r="H501" s="1327"/>
      <c r="I501" s="1324"/>
      <c r="J501" s="1324" t="s">
        <v>4015</v>
      </c>
      <c r="K501" s="1324"/>
      <c r="L501" s="1324"/>
      <c r="M501" s="469"/>
      <c r="N501" s="470"/>
      <c r="O501" s="1318"/>
      <c r="P501" s="1318"/>
      <c r="Q501" s="1228"/>
    </row>
    <row r="502" spans="3:17" s="503" customFormat="1">
      <c r="C502" s="469"/>
      <c r="D502" s="1329"/>
      <c r="E502" s="469"/>
      <c r="F502" s="469"/>
      <c r="G502" s="1326" t="s">
        <v>1235</v>
      </c>
      <c r="H502" s="1327"/>
      <c r="I502" s="1324"/>
      <c r="J502" s="1324" t="s">
        <v>3799</v>
      </c>
      <c r="K502" s="469"/>
      <c r="L502" s="1327"/>
      <c r="M502" s="469"/>
      <c r="N502" s="470"/>
      <c r="O502" s="1318"/>
      <c r="P502" s="1318"/>
      <c r="Q502" s="1228"/>
    </row>
    <row r="503" spans="3:17" s="503" customFormat="1">
      <c r="C503" s="469"/>
      <c r="D503" s="1329"/>
      <c r="E503" s="469"/>
      <c r="F503" s="469"/>
      <c r="G503" s="1326" t="s">
        <v>1650</v>
      </c>
      <c r="H503" s="1327"/>
      <c r="I503" s="1324"/>
      <c r="J503" s="1324" t="s">
        <v>3800</v>
      </c>
      <c r="K503" s="469"/>
      <c r="L503" s="1327"/>
      <c r="M503" s="469"/>
      <c r="N503" s="470"/>
      <c r="O503" s="1318"/>
      <c r="P503" s="1318"/>
      <c r="Q503" s="1228"/>
    </row>
    <row r="504" spans="3:17" s="503" customFormat="1">
      <c r="C504" s="469"/>
      <c r="D504" s="1330"/>
      <c r="E504" s="469"/>
      <c r="F504" s="469"/>
      <c r="G504" s="1326" t="s">
        <v>994</v>
      </c>
      <c r="H504" s="1327"/>
      <c r="I504" s="1324"/>
      <c r="J504" s="1324" t="s">
        <v>4010</v>
      </c>
      <c r="K504" s="469"/>
      <c r="L504" s="1327"/>
      <c r="M504" s="469"/>
      <c r="N504" s="470"/>
      <c r="O504" s="1318"/>
      <c r="P504" s="1318"/>
      <c r="Q504" s="1228"/>
    </row>
    <row r="505" spans="3:17" s="503" customFormat="1">
      <c r="C505" s="469"/>
      <c r="D505" s="1330"/>
      <c r="E505" s="1330"/>
      <c r="F505" s="469"/>
      <c r="G505" s="1326" t="s">
        <v>579</v>
      </c>
      <c r="H505" s="1327"/>
      <c r="I505" s="1324"/>
      <c r="J505" s="1324" t="s">
        <v>4013</v>
      </c>
      <c r="K505" s="469"/>
      <c r="L505" s="1324"/>
      <c r="M505" s="469"/>
      <c r="N505" s="470"/>
      <c r="O505" s="1318"/>
      <c r="P505" s="1318"/>
      <c r="Q505" s="1228"/>
    </row>
    <row r="506" spans="3:17" s="503" customFormat="1">
      <c r="C506" s="469"/>
      <c r="D506" s="469"/>
      <c r="E506" s="469"/>
      <c r="F506" s="469"/>
      <c r="G506" s="1326" t="s">
        <v>1651</v>
      </c>
      <c r="H506" s="1327"/>
      <c r="I506" s="1324"/>
      <c r="J506" s="1324" t="s">
        <v>4014</v>
      </c>
      <c r="K506" s="469"/>
      <c r="L506" s="1327"/>
      <c r="M506" s="469"/>
      <c r="N506" s="470"/>
      <c r="O506" s="1318"/>
      <c r="P506" s="1318"/>
      <c r="Q506" s="1228"/>
    </row>
    <row r="507" spans="3:17" s="503" customFormat="1">
      <c r="C507" s="469"/>
      <c r="D507" s="469"/>
      <c r="E507" s="469"/>
      <c r="F507" s="469"/>
      <c r="G507" s="1326" t="s">
        <v>1692</v>
      </c>
      <c r="H507" s="1327"/>
      <c r="I507" s="1324"/>
      <c r="J507" s="1324" t="s">
        <v>3801</v>
      </c>
      <c r="K507" s="469"/>
      <c r="L507" s="1327"/>
      <c r="M507" s="469"/>
      <c r="N507" s="470"/>
      <c r="O507" s="1318"/>
      <c r="P507" s="1318"/>
      <c r="Q507" s="1228"/>
    </row>
    <row r="508" spans="3:17" s="503" customFormat="1">
      <c r="C508" s="1329"/>
      <c r="D508" s="469"/>
      <c r="E508" s="469"/>
      <c r="F508" s="469"/>
      <c r="G508" s="1326" t="s">
        <v>1753</v>
      </c>
      <c r="H508" s="1324"/>
      <c r="I508" s="1324"/>
      <c r="J508" s="1324" t="s">
        <v>3802</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4100</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4549</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TxnfzLRbZjAUsRK1uTOa3uZuryaVM/szcL0vMyoVDkf1n4OOR2VEN8Dd1MPaTwLLloGtg4tA7jrKYFQf40b4OQ==" saltValue="33wgbVGNscjCHFXbesZmY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Normal="100" workbookViewId="0">
      <selection sqref="A1:XFD1048576"/>
    </sheetView>
  </sheetViews>
  <sheetFormatPr defaultRowHeight="12.75"/>
  <cols>
    <col min="1" max="1" width="88.42578125" style="28" customWidth="1"/>
    <col min="2" max="16384" width="9.140625" style="28"/>
  </cols>
  <sheetData>
    <row r="1" spans="1:6" ht="15.75">
      <c r="A1" s="918" t="s">
        <v>4253</v>
      </c>
    </row>
    <row r="2" spans="1:6" s="34" customFormat="1" ht="13.5" customHeight="1">
      <c r="A2" s="917" t="str">
        <f>'Part I-Project Information'!$F$34</f>
        <v>Peaks of Cartersville</v>
      </c>
    </row>
    <row r="3" spans="1:6" s="34" customFormat="1" ht="13.5" customHeight="1">
      <c r="A3" s="917" t="str">
        <f>CONCATENATE('Part I-Project Information'!$F$38,", ", 'Part I-Project Information'!$J$39," County")</f>
        <v>Cartersville, Bartow County</v>
      </c>
    </row>
    <row r="4" spans="1:6" ht="6.75" customHeight="1"/>
    <row r="5" spans="1:6" ht="113.25" customHeight="1">
      <c r="A5" s="2896" t="s">
        <v>4755</v>
      </c>
      <c r="B5" s="2208" t="s">
        <v>4254</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dSPqOr5wW0f3XDiiNFDi2375xGk4aickkGmfvkHJDC5OLTtkEiOFjZam8y8Mhoz7TVxys4tTWqbi5OdMngthDQ==" saltValue="x2evNi0P+IoRAgG7Twx2H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4255</v>
      </c>
    </row>
    <row r="3" spans="1:7" ht="3" customHeight="1"/>
    <row r="4" spans="1:7">
      <c r="A4" s="1373" t="s">
        <v>4256</v>
      </c>
      <c r="B4" s="1374">
        <f>+'Part IV-A-Uses of Funds'!$G$132</f>
        <v>13449266.200550128</v>
      </c>
    </row>
    <row r="5" spans="1:7">
      <c r="A5" s="1373" t="s">
        <v>4287</v>
      </c>
      <c r="B5" s="1374">
        <f>+B18+B26+B38</f>
        <v>2612355.8063372378</v>
      </c>
    </row>
    <row r="6" spans="1:7">
      <c r="A6" s="1373" t="s">
        <v>4257</v>
      </c>
      <c r="B6" s="1375">
        <f>+B5-B4</f>
        <v>-10836910.39421289</v>
      </c>
    </row>
    <row r="7" spans="1:7">
      <c r="A7" s="1373" t="s">
        <v>4258</v>
      </c>
      <c r="B7" s="1376">
        <f>+B6/B4</f>
        <v>-0.80576220535880372</v>
      </c>
    </row>
    <row r="8" spans="1:7" ht="9" customHeight="1"/>
    <row r="9" spans="1:7">
      <c r="A9" s="1373" t="s">
        <v>4259</v>
      </c>
      <c r="B9" s="1374">
        <f>+B18+B26+B33</f>
        <v>2612245.8063372378</v>
      </c>
    </row>
    <row r="10" spans="1:7">
      <c r="A10" s="1373" t="s">
        <v>4257</v>
      </c>
      <c r="B10" s="1375">
        <f>+B9-B4</f>
        <v>-10837020.39421289</v>
      </c>
    </row>
    <row r="11" spans="1:7">
      <c r="A11" s="1373" t="s">
        <v>4258</v>
      </c>
      <c r="B11" s="1376">
        <f>+B10/B4</f>
        <v>-0.80577038424368563</v>
      </c>
    </row>
    <row r="12" spans="1:7" ht="24" customHeight="1"/>
    <row r="13" spans="1:7">
      <c r="A13" s="1372" t="s">
        <v>4260</v>
      </c>
      <c r="D13" s="1445" t="s">
        <v>4527</v>
      </c>
      <c r="E13" s="1446"/>
    </row>
    <row r="14" spans="1:7">
      <c r="A14" s="1373" t="s">
        <v>4261</v>
      </c>
      <c r="B14" s="1377">
        <f>+SUM('Part III-Sources of Funds'!L49:M50)</f>
        <v>10943750</v>
      </c>
      <c r="D14" s="1446"/>
      <c r="E14" s="1446"/>
    </row>
    <row r="15" spans="1:7">
      <c r="A15" s="1373" t="s">
        <v>4262</v>
      </c>
      <c r="B15" s="1378">
        <f>+'Part IV-A-Uses of Funds'!J167</f>
        <v>1094915.6200550129</v>
      </c>
      <c r="D15" s="1446" t="s">
        <v>2061</v>
      </c>
      <c r="G15" s="1447">
        <f>'Part IV-A-Uses of Funds'!J155</f>
        <v>9977287.2140641157</v>
      </c>
    </row>
    <row r="16" spans="1:7" ht="12.75" customHeight="1">
      <c r="D16" s="1446" t="s">
        <v>4528</v>
      </c>
      <c r="G16" s="1451">
        <v>3.2800000000000003E-2</v>
      </c>
    </row>
    <row r="17" spans="1:7" ht="12.75" customHeight="1">
      <c r="A17" s="1373" t="s">
        <v>4263</v>
      </c>
      <c r="B17" s="1450">
        <v>1.45</v>
      </c>
      <c r="D17" s="1446" t="s">
        <v>4529</v>
      </c>
      <c r="G17" s="1452">
        <v>1.45</v>
      </c>
    </row>
    <row r="18" spans="1:7" ht="12.75" customHeight="1">
      <c r="A18" s="1373" t="s">
        <v>4264</v>
      </c>
      <c r="B18" s="1379">
        <f>+'Part IV-A-Uses of Funds'!J174*B17*10</f>
        <v>0</v>
      </c>
      <c r="D18" s="1446" t="s">
        <v>4530</v>
      </c>
      <c r="G18" s="1452">
        <v>3.28</v>
      </c>
    </row>
    <row r="19" spans="1:7" ht="12.75" customHeight="1">
      <c r="D19" s="1446" t="s">
        <v>4531</v>
      </c>
      <c r="G19" s="1448">
        <f>+G15*G16*G17*10</f>
        <v>4745197.7990088928</v>
      </c>
    </row>
    <row r="20" spans="1:7">
      <c r="A20" s="1373" t="s">
        <v>4265</v>
      </c>
      <c r="B20" s="1377">
        <f>+B18-B14</f>
        <v>-10943750</v>
      </c>
      <c r="D20" s="1446" t="s">
        <v>4532</v>
      </c>
      <c r="G20" s="1449">
        <f>+B14-G19</f>
        <v>6198552.2009911072</v>
      </c>
    </row>
    <row r="21" spans="1:7">
      <c r="A21" s="1373" t="s">
        <v>4266</v>
      </c>
      <c r="B21" s="1376">
        <f>+B20/B14</f>
        <v>-1</v>
      </c>
      <c r="D21" s="1446" t="s">
        <v>4533</v>
      </c>
      <c r="G21" s="1446" t="str">
        <f>+IF(G20&gt;(B28+B35),"No","Yes")</f>
        <v>No</v>
      </c>
    </row>
    <row r="22" spans="1:7" ht="24" customHeight="1"/>
    <row r="23" spans="1:7">
      <c r="A23" s="1372" t="s">
        <v>4267</v>
      </c>
    </row>
    <row r="24" spans="1:7">
      <c r="A24" s="1373" t="s">
        <v>4268</v>
      </c>
      <c r="B24" s="1380">
        <f>+SUM('Part III-Sources of Funds'!I37:J40)</f>
        <v>2500000</v>
      </c>
    </row>
    <row r="25" spans="1:7">
      <c r="A25" s="1373" t="s">
        <v>4269</v>
      </c>
      <c r="B25" s="1381">
        <f>IF('Part III-Sources of Funds'!B11="Yes","N/A",MAX(B46:P46))</f>
        <v>-10551.365602867329</v>
      </c>
    </row>
    <row r="26" spans="1:7">
      <c r="A26" s="1373" t="s">
        <v>4270</v>
      </c>
      <c r="B26" s="1371">
        <f>IFERROR(PV('Part III-Sources of Funds'!K37,'Part III-Sources of Funds'!L37,B25+B45),B24)</f>
        <v>2612245.8063372378</v>
      </c>
    </row>
    <row r="27" spans="1:7" ht="9" customHeight="1">
      <c r="B27" s="1371"/>
    </row>
    <row r="28" spans="1:7">
      <c r="A28" s="1373" t="s">
        <v>4271</v>
      </c>
      <c r="B28" s="1382">
        <f>+B26-B24</f>
        <v>112245.80633723782</v>
      </c>
      <c r="C28" s="1383"/>
    </row>
    <row r="29" spans="1:7">
      <c r="A29" s="1373" t="s">
        <v>4266</v>
      </c>
      <c r="B29" s="1384">
        <f>+B28/B24</f>
        <v>4.4898322534895133E-2</v>
      </c>
    </row>
    <row r="30" spans="1:7" ht="24" customHeight="1"/>
    <row r="31" spans="1:7">
      <c r="A31" s="1372" t="s">
        <v>4126</v>
      </c>
    </row>
    <row r="32" spans="1:7">
      <c r="A32" s="1373" t="s">
        <v>4272</v>
      </c>
      <c r="B32" s="1385">
        <f>+'Part III-Sources of Funds'!I42</f>
        <v>6170</v>
      </c>
    </row>
    <row r="33" spans="1:11">
      <c r="A33" s="1373" t="s">
        <v>4273</v>
      </c>
      <c r="B33" s="1371"/>
    </row>
    <row r="34" spans="1:11" ht="9" customHeight="1">
      <c r="B34" s="1371"/>
    </row>
    <row r="35" spans="1:11">
      <c r="A35" s="1373" t="s">
        <v>4274</v>
      </c>
      <c r="B35" s="1385">
        <f>+B33-B32</f>
        <v>-6170</v>
      </c>
    </row>
    <row r="36" spans="1:11">
      <c r="A36" s="1373" t="s">
        <v>4275</v>
      </c>
      <c r="B36" s="1370">
        <f>+B35/B32</f>
        <v>-1</v>
      </c>
    </row>
    <row r="37" spans="1:11" ht="24" customHeight="1">
      <c r="B37" s="1371"/>
    </row>
    <row r="38" spans="1:11">
      <c r="A38" s="1372" t="s">
        <v>4276</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4277</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198338.93999999994</v>
      </c>
      <c r="C44" s="1374">
        <f>+'Part VII-Pro Forma'!C22</f>
        <v>199090.9988</v>
      </c>
      <c r="D44" s="1374">
        <f>+'Part VII-Pro Forma'!D22</f>
        <v>199761.95157600002</v>
      </c>
      <c r="E44" s="1374">
        <f>+'Part VII-Pro Forma'!E22</f>
        <v>200347.54339151992</v>
      </c>
      <c r="F44" s="1374">
        <f>+'Part VII-Pro Forma'!F22</f>
        <v>200842.34742687049</v>
      </c>
      <c r="G44" s="1374">
        <f>+'Part VII-Pro Forma'!G22</f>
        <v>201241.75893795348</v>
      </c>
      <c r="H44" s="1374">
        <f>+'Part VII-Pro Forma'!H22</f>
        <v>201539.98901613452</v>
      </c>
      <c r="I44" s="1374">
        <f>+'Part VII-Pro Forma'!I22</f>
        <v>201733.05814286161</v>
      </c>
      <c r="J44" s="1374">
        <f>+'Part VII-Pro Forma'!J22</f>
        <v>201814.78953251574</v>
      </c>
      <c r="K44" s="1374">
        <f>+'Part VII-Pro Forma'!K22</f>
        <v>201778.80225676676</v>
      </c>
    </row>
    <row r="45" spans="1:11">
      <c r="A45" s="1373" t="s">
        <v>4278</v>
      </c>
      <c r="B45" s="1374">
        <f>SUM('Part VII-Pro Forma'!B23:B26)</f>
        <v>-154731.08439713262</v>
      </c>
      <c r="C45" s="1374">
        <f>SUM('Part VII-Pro Forma'!C23:C26)</f>
        <v>-154731.08439713262</v>
      </c>
      <c r="D45" s="1374">
        <f>SUM('Part VII-Pro Forma'!D23:D26)</f>
        <v>-154731.08439713262</v>
      </c>
      <c r="E45" s="1374">
        <f>SUM('Part VII-Pro Forma'!E23:E26)</f>
        <v>-154731.08439713262</v>
      </c>
      <c r="F45" s="1374">
        <f>SUM('Part VII-Pro Forma'!F23:F26)</f>
        <v>-154731.08439713262</v>
      </c>
      <c r="G45" s="1374">
        <f>SUM('Part VII-Pro Forma'!G23:G26)</f>
        <v>-154731.08439713262</v>
      </c>
      <c r="H45" s="1374">
        <f>SUM('Part VII-Pro Forma'!H23:H26)</f>
        <v>-154731.08439713262</v>
      </c>
      <c r="I45" s="1374">
        <f>SUM('Part VII-Pro Forma'!I23:I26)</f>
        <v>-154731.08439713262</v>
      </c>
      <c r="J45" s="1374">
        <f>SUM('Part VII-Pro Forma'!J23:J26)</f>
        <v>-154731.08439713262</v>
      </c>
      <c r="K45" s="1374">
        <f>SUM('Part VII-Pro Forma'!K23:K26)</f>
        <v>-154731.08439713262</v>
      </c>
    </row>
    <row r="46" spans="1:11">
      <c r="A46" s="1373" t="s">
        <v>4279</v>
      </c>
      <c r="B46" s="1375">
        <f t="shared" ref="B46:K46" si="0">-B44/B48-B45</f>
        <v>-10551.365602867329</v>
      </c>
      <c r="C46" s="1375">
        <f t="shared" si="0"/>
        <v>-11178.081269534043</v>
      </c>
      <c r="D46" s="1375">
        <f t="shared" si="0"/>
        <v>-11737.208582867403</v>
      </c>
      <c r="E46" s="1375">
        <f t="shared" si="0"/>
        <v>-12225.201762467332</v>
      </c>
      <c r="F46" s="1375">
        <f t="shared" si="0"/>
        <v>-12637.538458592782</v>
      </c>
      <c r="G46" s="1375">
        <f t="shared" si="0"/>
        <v>-12970.381384495267</v>
      </c>
      <c r="H46" s="1375">
        <f t="shared" si="0"/>
        <v>-13218.906449646165</v>
      </c>
      <c r="I46" s="1375">
        <f t="shared" si="0"/>
        <v>-13379.797388585401</v>
      </c>
      <c r="J46" s="1375">
        <f t="shared" si="0"/>
        <v>-13447.906879963848</v>
      </c>
      <c r="K46" s="1375">
        <f t="shared" si="0"/>
        <v>-13417.917483506346</v>
      </c>
    </row>
    <row r="48" spans="1:11">
      <c r="A48" s="1373" t="s">
        <v>4280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198338.93999999994</v>
      </c>
      <c r="C51" s="1375">
        <f t="shared" ref="C51:K51" si="2">+C44</f>
        <v>199090.9988</v>
      </c>
      <c r="D51" s="1375">
        <f t="shared" si="2"/>
        <v>199761.95157600002</v>
      </c>
      <c r="E51" s="1375">
        <f t="shared" si="2"/>
        <v>200347.54339151992</v>
      </c>
      <c r="F51" s="1375">
        <f t="shared" si="2"/>
        <v>200842.34742687049</v>
      </c>
      <c r="G51" s="1375">
        <f t="shared" si="2"/>
        <v>201241.75893795348</v>
      </c>
      <c r="H51" s="1375">
        <f t="shared" si="2"/>
        <v>201539.98901613452</v>
      </c>
      <c r="I51" s="1375">
        <f t="shared" si="2"/>
        <v>201733.05814286161</v>
      </c>
      <c r="J51" s="1375">
        <f t="shared" si="2"/>
        <v>201814.78953251574</v>
      </c>
      <c r="K51" s="1375">
        <f t="shared" si="2"/>
        <v>201778.80225676676</v>
      </c>
    </row>
    <row r="52" spans="1:17">
      <c r="A52" s="1373" t="s">
        <v>4281</v>
      </c>
      <c r="B52" s="1375">
        <f>IF($B$25="N/A",B45,B45+$B$25)</f>
        <v>-165282.44999999995</v>
      </c>
      <c r="C52" s="1375">
        <f t="shared" ref="C52:K52" si="3">IF($B$25="N/A",C45,C45+$B$25)</f>
        <v>-165282.44999999995</v>
      </c>
      <c r="D52" s="1375">
        <f t="shared" si="3"/>
        <v>-165282.44999999995</v>
      </c>
      <c r="E52" s="1375">
        <f t="shared" si="3"/>
        <v>-165282.44999999995</v>
      </c>
      <c r="F52" s="1375">
        <f t="shared" si="3"/>
        <v>-165282.44999999995</v>
      </c>
      <c r="G52" s="1375">
        <f t="shared" si="3"/>
        <v>-165282.44999999995</v>
      </c>
      <c r="H52" s="1375">
        <f t="shared" si="3"/>
        <v>-165282.44999999995</v>
      </c>
      <c r="I52" s="1375">
        <f t="shared" si="3"/>
        <v>-165282.44999999995</v>
      </c>
      <c r="J52" s="1375">
        <f t="shared" si="3"/>
        <v>-165282.44999999995</v>
      </c>
      <c r="K52" s="1375">
        <f t="shared" si="3"/>
        <v>-165282.44999999995</v>
      </c>
    </row>
    <row r="53" spans="1:17">
      <c r="A53" s="1373" t="s">
        <v>4282</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4283</v>
      </c>
      <c r="B54" s="1375">
        <f>+SUM(B51:B53)</f>
        <v>28056.489999999991</v>
      </c>
      <c r="C54" s="1375">
        <f t="shared" ref="C54:K54" si="4">+SUM(C51:C53)</f>
        <v>28808.548800000048</v>
      </c>
      <c r="D54" s="1375">
        <f t="shared" si="4"/>
        <v>29479.501576000068</v>
      </c>
      <c r="E54" s="1375">
        <f t="shared" si="4"/>
        <v>30065.093391519971</v>
      </c>
      <c r="F54" s="1375">
        <f t="shared" si="4"/>
        <v>30559.897426870535</v>
      </c>
      <c r="G54" s="1375">
        <f t="shared" si="4"/>
        <v>30959.308937953523</v>
      </c>
      <c r="H54" s="1375">
        <f t="shared" si="4"/>
        <v>31257.539016134571</v>
      </c>
      <c r="I54" s="1375">
        <f t="shared" si="4"/>
        <v>31450.60814286166</v>
      </c>
      <c r="J54" s="1375">
        <f t="shared" si="4"/>
        <v>31532.339532515791</v>
      </c>
      <c r="K54" s="1375">
        <f t="shared" si="4"/>
        <v>31496.352256766811</v>
      </c>
    </row>
    <row r="55" spans="1:17">
      <c r="A55" s="1373" t="s">
        <v>4126</v>
      </c>
      <c r="B55" s="1375">
        <f>-B54</f>
        <v>-28056.489999999991</v>
      </c>
      <c r="C55" s="1375">
        <f t="shared" ref="C55:K55" si="5">-C54</f>
        <v>-28808.548800000048</v>
      </c>
      <c r="D55" s="1375">
        <f t="shared" si="5"/>
        <v>-29479.501576000068</v>
      </c>
      <c r="E55" s="1375">
        <f t="shared" si="5"/>
        <v>-30065.093391519971</v>
      </c>
      <c r="F55" s="1375">
        <f t="shared" si="5"/>
        <v>-30559.897426870535</v>
      </c>
      <c r="G55" s="1375">
        <f t="shared" si="5"/>
        <v>-30959.308937953523</v>
      </c>
      <c r="H55" s="1375">
        <f t="shared" si="5"/>
        <v>-31257.539016134571</v>
      </c>
      <c r="I55" s="1375">
        <f t="shared" si="5"/>
        <v>-31450.60814286166</v>
      </c>
      <c r="J55" s="1375">
        <f t="shared" si="5"/>
        <v>-31532.339532515791</v>
      </c>
      <c r="K55" s="1375">
        <f t="shared" si="5"/>
        <v>-31496.352256766811</v>
      </c>
    </row>
    <row r="56" spans="1:17">
      <c r="A56" s="1373" t="s">
        <v>4284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4285</v>
      </c>
      <c r="B58" s="1374">
        <f>IF($B$26="","",-FV('Part III-Sources of Funds'!$K$37/12,12,B52/12,B26))</f>
        <v>2590083.7419141866</v>
      </c>
      <c r="C58" s="1374">
        <f>IF($B$26="","",-FV('Part III-Sources of Funds'!$K$37/12,12,C52/12,B58))</f>
        <v>2566671.5628553052</v>
      </c>
      <c r="D58" s="1374">
        <f>IF($B$26="","",-FV('Part III-Sources of Funds'!$K$37/12,12,D52/12,C58))</f>
        <v>2541938.7528687487</v>
      </c>
      <c r="E58" s="1374">
        <f>IF($B$26="","",-FV('Part III-Sources of Funds'!$K$37/12,12,E52/12,D58))</f>
        <v>2515810.8179895286</v>
      </c>
      <c r="F58" s="1374">
        <f>IF($B$26="","",-FV('Part III-Sources of Funds'!$K$37/12,12,F52/12,E58))</f>
        <v>2488209.0622074795</v>
      </c>
      <c r="G58" s="1374">
        <f>IF($B$26="","",-FV('Part III-Sources of Funds'!$K$37/12,12,G52/12,F58))</f>
        <v>2459050.3504388807</v>
      </c>
      <c r="H58" s="1374">
        <f>IF($B$26="","",-FV('Part III-Sources of Funds'!$K$37/12,12,H52/12,G58))</f>
        <v>2428246.8581278166</v>
      </c>
      <c r="I58" s="1374">
        <f>IF($B$26="","",-FV('Part III-Sources of Funds'!$K$37/12,12,I52/12,H58))</f>
        <v>2395705.8067230834</v>
      </c>
      <c r="J58" s="1374">
        <f>IF($B$26="","",-FV('Part III-Sources of Funds'!$K$37/12,12,J52/12,I58))</f>
        <v>2361329.1842339132</v>
      </c>
      <c r="K58" s="1374">
        <f>IF($B$26="","",-FV('Part III-Sources of Funds'!$K$37/12,12,K52/12,J58))</f>
        <v>2325013.4500228479</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4277</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201620.50414351089</v>
      </c>
      <c r="C64" s="1374">
        <f>+'Part VII-Pro Forma'!C52</f>
        <v>201333.08444323781</v>
      </c>
      <c r="D64" s="1374">
        <f>+'Part VII-Pro Forma'!D52</f>
        <v>200910.50625546533</v>
      </c>
      <c r="E64" s="1374">
        <f>+'Part VII-Pro Forma'!E52</f>
        <v>200346.49870763818</v>
      </c>
      <c r="F64" s="1374">
        <f>+'Part VII-Pro Forma'!F52</f>
        <v>199633.54887866662</v>
      </c>
      <c r="G64" s="1374">
        <f>+'Part VII-Pro Forma'!G52</f>
        <v>198763.89345902117</v>
      </c>
      <c r="H64" s="1374">
        <f>+'Part VII-Pro Forma'!H52</f>
        <v>197731.51013906708</v>
      </c>
      <c r="I64" s="1374">
        <f>+'Part VII-Pro Forma'!I52</f>
        <v>196528.10871703955</v>
      </c>
      <c r="J64" s="1374">
        <f>+'Part VII-Pro Forma'!J52</f>
        <v>195146.1219178272</v>
      </c>
      <c r="K64" s="1374">
        <f>+'Part VII-Pro Forma'!K52</f>
        <v>193576.69591342393</v>
      </c>
    </row>
    <row r="65" spans="1:11">
      <c r="A65" s="1373" t="s">
        <v>4278</v>
      </c>
      <c r="B65" s="1374">
        <f>SUM('Part VII-Pro Forma'!B53:B56)</f>
        <v>-154731.08439713262</v>
      </c>
      <c r="C65" s="1374">
        <f>SUM('Part VII-Pro Forma'!C53:C56)</f>
        <v>-154731.08439713262</v>
      </c>
      <c r="D65" s="1374">
        <f>SUM('Part VII-Pro Forma'!D53:D56)</f>
        <v>-154731.08439713262</v>
      </c>
      <c r="E65" s="1374">
        <f>SUM('Part VII-Pro Forma'!E53:E56)</f>
        <v>-154731.08439713262</v>
      </c>
      <c r="F65" s="1374">
        <f>SUM('Part VII-Pro Forma'!F53:F56)</f>
        <v>-154731.08439713262</v>
      </c>
      <c r="G65" s="1374">
        <f>SUM('Part VII-Pro Forma'!G53:G56)</f>
        <v>-154731.08439713262</v>
      </c>
      <c r="H65" s="1374">
        <f>SUM('Part VII-Pro Forma'!H53:H56)</f>
        <v>-154731.08439713262</v>
      </c>
      <c r="I65" s="1374">
        <f>SUM('Part VII-Pro Forma'!I53:I56)</f>
        <v>-154731.08439713262</v>
      </c>
      <c r="J65" s="1374">
        <f>SUM('Part VII-Pro Forma'!J53:J56)</f>
        <v>-154731.08439713262</v>
      </c>
      <c r="K65" s="1374">
        <f>SUM('Part VII-Pro Forma'!K53:K56)</f>
        <v>-154731.08439713262</v>
      </c>
    </row>
    <row r="66" spans="1:11">
      <c r="A66" s="1373" t="s">
        <v>4279</v>
      </c>
      <c r="B66" s="1375">
        <f t="shared" ref="B66:K66" si="7">-B64/B68-B65</f>
        <v>-13286.002389126457</v>
      </c>
      <c r="C66" s="1375">
        <f t="shared" si="7"/>
        <v>-13046.485972232214</v>
      </c>
      <c r="D66" s="1375">
        <f t="shared" si="7"/>
        <v>-12694.337482421834</v>
      </c>
      <c r="E66" s="1375">
        <f t="shared" si="7"/>
        <v>-12224.331192565878</v>
      </c>
      <c r="F66" s="1375">
        <f t="shared" si="7"/>
        <v>-11630.206335089577</v>
      </c>
      <c r="G66" s="1375">
        <f t="shared" si="7"/>
        <v>-10905.493485385028</v>
      </c>
      <c r="H66" s="1375">
        <f t="shared" si="7"/>
        <v>-10045.174052089948</v>
      </c>
      <c r="I66" s="1375">
        <f t="shared" si="7"/>
        <v>-9042.3395337336697</v>
      </c>
      <c r="J66" s="1375">
        <f t="shared" si="7"/>
        <v>-7890.68386772339</v>
      </c>
      <c r="K66" s="1375">
        <f t="shared" si="7"/>
        <v>-6582.8288640539977</v>
      </c>
    </row>
    <row r="68" spans="1:11">
      <c r="A68" s="1373" t="s">
        <v>4280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201620.50414351089</v>
      </c>
      <c r="C71" s="1375">
        <f t="shared" si="9"/>
        <v>201333.08444323781</v>
      </c>
      <c r="D71" s="1375">
        <f t="shared" si="9"/>
        <v>200910.50625546533</v>
      </c>
      <c r="E71" s="1375">
        <f t="shared" si="9"/>
        <v>200346.49870763818</v>
      </c>
      <c r="F71" s="1375">
        <f t="shared" si="9"/>
        <v>199633.54887866662</v>
      </c>
      <c r="G71" s="1375">
        <f t="shared" si="9"/>
        <v>198763.89345902117</v>
      </c>
      <c r="H71" s="1375">
        <f t="shared" ref="H71:K71" si="10">+H64</f>
        <v>197731.51013906708</v>
      </c>
      <c r="I71" s="1375">
        <f t="shared" si="10"/>
        <v>196528.10871703955</v>
      </c>
      <c r="J71" s="1375">
        <f t="shared" si="10"/>
        <v>195146.1219178272</v>
      </c>
      <c r="K71" s="1375">
        <f t="shared" si="10"/>
        <v>193576.69591342393</v>
      </c>
    </row>
    <row r="72" spans="1:11">
      <c r="A72" s="1373" t="s">
        <v>4281</v>
      </c>
      <c r="B72" s="1375">
        <f t="shared" ref="B72:G72" si="11">IF($B$25="N/A",B65,B65+$B$25)</f>
        <v>-165282.44999999995</v>
      </c>
      <c r="C72" s="1375">
        <f t="shared" si="11"/>
        <v>-165282.44999999995</v>
      </c>
      <c r="D72" s="1375">
        <f t="shared" si="11"/>
        <v>-165282.44999999995</v>
      </c>
      <c r="E72" s="1375">
        <f t="shared" si="11"/>
        <v>-165282.44999999995</v>
      </c>
      <c r="F72" s="1375">
        <f t="shared" si="11"/>
        <v>-165282.44999999995</v>
      </c>
      <c r="G72" s="1375">
        <f t="shared" si="11"/>
        <v>-165282.44999999995</v>
      </c>
      <c r="H72" s="1375">
        <f t="shared" ref="H72:K72" si="12">IF($B$25="N/A",H65,H65+$B$25)</f>
        <v>-165282.44999999995</v>
      </c>
      <c r="I72" s="1375">
        <f t="shared" si="12"/>
        <v>-165282.44999999995</v>
      </c>
      <c r="J72" s="1375">
        <f t="shared" si="12"/>
        <v>-165282.44999999995</v>
      </c>
      <c r="K72" s="1375">
        <f t="shared" si="12"/>
        <v>-165282.44999999995</v>
      </c>
    </row>
    <row r="73" spans="1:11">
      <c r="A73" s="1373" t="s">
        <v>4282</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4283</v>
      </c>
      <c r="B74" s="1375">
        <f t="shared" ref="B74:G74" si="13">+SUM(B71:B73)</f>
        <v>31338.054143510933</v>
      </c>
      <c r="C74" s="1375">
        <f t="shared" si="13"/>
        <v>31050.634443237854</v>
      </c>
      <c r="D74" s="1375">
        <f t="shared" si="13"/>
        <v>30628.056255465373</v>
      </c>
      <c r="E74" s="1375">
        <f t="shared" si="13"/>
        <v>30064.048707638227</v>
      </c>
      <c r="F74" s="1375">
        <f t="shared" si="13"/>
        <v>29351.098878666671</v>
      </c>
      <c r="G74" s="1375">
        <f t="shared" si="13"/>
        <v>28481.443459021219</v>
      </c>
      <c r="H74" s="1375">
        <f t="shared" ref="H74:K74" si="14">+SUM(H71:H73)</f>
        <v>27449.060139067122</v>
      </c>
      <c r="I74" s="1375">
        <f t="shared" si="14"/>
        <v>26245.658717039594</v>
      </c>
      <c r="J74" s="1375">
        <f t="shared" si="14"/>
        <v>24863.671917827247</v>
      </c>
      <c r="K74" s="1375">
        <f t="shared" si="14"/>
        <v>23294.245913423976</v>
      </c>
    </row>
    <row r="75" spans="1:11">
      <c r="A75" s="1373" t="s">
        <v>4126</v>
      </c>
      <c r="B75" s="1375">
        <f t="shared" ref="B75:G75" si="15">-B74</f>
        <v>-31338.054143510933</v>
      </c>
      <c r="C75" s="1375">
        <f t="shared" si="15"/>
        <v>-31050.634443237854</v>
      </c>
      <c r="D75" s="1375">
        <f t="shared" si="15"/>
        <v>-30628.056255465373</v>
      </c>
      <c r="E75" s="1375">
        <f t="shared" si="15"/>
        <v>-30064.048707638227</v>
      </c>
      <c r="F75" s="1375">
        <f t="shared" si="15"/>
        <v>-29351.098878666671</v>
      </c>
      <c r="G75" s="1375">
        <f t="shared" si="15"/>
        <v>-28481.443459021219</v>
      </c>
      <c r="H75" s="1375">
        <f t="shared" ref="H75:K75" si="16">-H74</f>
        <v>-27449.060139067122</v>
      </c>
      <c r="I75" s="1375">
        <f t="shared" si="16"/>
        <v>-26245.658717039594</v>
      </c>
      <c r="J75" s="1375">
        <f t="shared" si="16"/>
        <v>-24863.671917827247</v>
      </c>
      <c r="K75" s="1375">
        <f t="shared" si="16"/>
        <v>-23294.245913423976</v>
      </c>
    </row>
    <row r="76" spans="1:11">
      <c r="A76" s="1373" t="s">
        <v>4284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4285</v>
      </c>
      <c r="B78" s="1374">
        <f>IF($B$26="","",-FV('Part III-Sources of Funds'!$K$37/12,12,B72/12,K58))</f>
        <v>2286649.2229466066</v>
      </c>
      <c r="C78" s="1374">
        <f>IF($B$26="","",-FV('Part III-Sources of Funds'!$K$37/12,12,C72/12,B78))</f>
        <v>2246120.9519056496</v>
      </c>
      <c r="D78" s="1374">
        <f>IF($B$26="","",-FV('Part III-Sources of Funds'!$K$37/12,12,D72/12,C78))</f>
        <v>2203306.5678101471</v>
      </c>
      <c r="E78" s="1374">
        <f>IF($B$26="","",-FV('Part III-Sources of Funds'!$K$37/12,12,E72/12,D78))</f>
        <v>2158077.1159140929</v>
      </c>
      <c r="F78" s="1374">
        <f>IF($B$26="","",-FV('Part III-Sources of Funds'!$K$37/12,12,F72/12,E78))</f>
        <v>2110296.3674101718</v>
      </c>
      <c r="G78" s="1374">
        <f>IF($B$26="","",-FV('Part III-Sources of Funds'!$K$37/12,12,G72/12,F78))</f>
        <v>2059820.4091155247</v>
      </c>
      <c r="H78" s="1374">
        <f>IF($B$26="","",-FV('Part III-Sources of Funds'!$K$37/12,12,H72/12,G78))</f>
        <v>2006497.210012567</v>
      </c>
      <c r="I78" s="1374">
        <f>IF($B$26="","",-FV('Part III-Sources of Funds'!$K$37/12,12,I72/12,H78))</f>
        <v>1950166.1633392998</v>
      </c>
      <c r="J78" s="1374">
        <f>IF($B$26="","",-FV('Part III-Sources of Funds'!$K$37/12,12,J72/12,I78))</f>
        <v>1890657.6028499159</v>
      </c>
      <c r="K78" s="1374">
        <f>IF($B$26="","",-FV('Part III-Sources of Funds'!$K$37/12,12,K72/12,J78))</f>
        <v>1827792.2917887026</v>
      </c>
    </row>
    <row r="79" spans="1:11">
      <c r="A79" s="1373" t="s">
        <v>4127</v>
      </c>
    </row>
    <row r="82" spans="1:2">
      <c r="A82" s="1373" t="s">
        <v>4286</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Peaks of Cartersville</v>
      </c>
      <c r="B2" s="2214"/>
      <c r="C2" s="2214"/>
      <c r="D2" s="2214"/>
      <c r="E2" s="2214"/>
      <c r="F2" s="2214"/>
      <c r="G2" s="2214"/>
      <c r="H2" s="2214"/>
      <c r="I2" s="2214"/>
      <c r="J2" s="2214"/>
    </row>
    <row r="3" spans="1:11" ht="15.75">
      <c r="A3" s="2214" t="str">
        <f>'Subsidy Layering Memo'!F14</f>
        <v>Cartersville, Bartow</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4288</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2500000</v>
      </c>
    </row>
    <row r="16" spans="1:11">
      <c r="A16" s="692" t="s">
        <v>2943</v>
      </c>
      <c r="D16" s="693">
        <f>Overview!C13</f>
        <v>72</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2018-035  Peaks of Cartersville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Peaks of Cartersville</v>
      </c>
      <c r="D8" s="2219"/>
      <c r="E8" s="1458" t="str">
        <f>'Part I-Project Information'!O6</f>
        <v>2018-035</v>
      </c>
      <c r="F8" s="728" t="s">
        <v>3010</v>
      </c>
      <c r="G8" s="727"/>
      <c r="H8" s="2219" t="str">
        <f>CONCATENATE('Part I-Project Information'!F38,", ",'Part I-Project Information'!J39)</f>
        <v>Cartersville, Bartow</v>
      </c>
      <c r="I8" s="2219"/>
      <c r="J8" s="2219"/>
      <c r="K8" s="2219"/>
      <c r="L8" s="686"/>
      <c r="M8" s="729"/>
    </row>
    <row r="9" spans="1:14" ht="15.75">
      <c r="A9" s="689" t="s">
        <v>3012</v>
      </c>
      <c r="B9" s="689"/>
      <c r="C9" s="2219" t="s">
        <v>1784</v>
      </c>
      <c r="D9" s="2219"/>
      <c r="E9" s="727"/>
      <c r="F9" s="728" t="s">
        <v>3013</v>
      </c>
      <c r="G9" s="727"/>
      <c r="H9" s="2219" t="str">
        <f>'Part II-Development Team'!H5</f>
        <v>Peaks of Cartersville, LP</v>
      </c>
      <c r="I9" s="2219"/>
      <c r="J9" s="2219"/>
      <c r="K9" s="2219"/>
      <c r="L9" s="2219"/>
      <c r="M9" s="729"/>
    </row>
    <row r="10" spans="1:14" ht="15.75">
      <c r="A10" s="689" t="s">
        <v>3015</v>
      </c>
      <c r="B10" s="686"/>
      <c r="C10" s="1458" t="str">
        <f>'Part II-Development Team'!H14</f>
        <v>Peaks of Cartersville GP, LLC</v>
      </c>
      <c r="D10" s="727"/>
      <c r="E10" s="727"/>
      <c r="F10" s="728" t="s">
        <v>3584</v>
      </c>
      <c r="G10" s="727"/>
      <c r="H10" s="2219" t="str">
        <f>'Part II-Development Team'!H33</f>
        <v>Affordable Equity Partners</v>
      </c>
      <c r="I10" s="2219"/>
      <c r="J10" s="2219"/>
      <c r="K10" s="2219" t="str">
        <f>'Part II-Development Team'!H39</f>
        <v>Affordable Equity Partners</v>
      </c>
      <c r="L10" s="2219"/>
    </row>
    <row r="11" spans="1:14" ht="15.75">
      <c r="A11" s="689" t="s">
        <v>3016</v>
      </c>
      <c r="B11" s="686"/>
      <c r="C11" s="1458" t="str">
        <f>IF('Part II-Development Team'!H20="","",'Part II-Development Team'!H20)</f>
        <v>Not Applicable</v>
      </c>
      <c r="D11" s="727"/>
      <c r="E11" s="1388" t="str">
        <f>IF('Part II-Development Team'!H26="","",'Part II-Development Team'!H26)</f>
        <v>Not Applicable</v>
      </c>
      <c r="F11" s="728" t="s">
        <v>658</v>
      </c>
      <c r="G11" s="727"/>
      <c r="H11" s="2219" t="str">
        <f>'Part II-Development Team'!H54</f>
        <v>Peaks of Cartersville Development, LLC</v>
      </c>
      <c r="I11" s="2219"/>
      <c r="J11" s="2219"/>
      <c r="K11" s="2219" t="str">
        <f>'Part II-Development Team'!H60</f>
        <v>Not Applicable</v>
      </c>
      <c r="L11" s="2219"/>
      <c r="M11" s="2219" t="str">
        <f>'Part II-Development Team'!H66</f>
        <v>Not Applicable</v>
      </c>
      <c r="N11" s="2219"/>
    </row>
    <row r="12" spans="1:14" ht="15.75">
      <c r="A12" s="689" t="s">
        <v>3017</v>
      </c>
      <c r="B12" s="686"/>
      <c r="C12" s="1458" t="str">
        <f>'Part II-Development Team'!H86</f>
        <v>Fairway Construction Co., Inc.</v>
      </c>
      <c r="D12" s="727"/>
      <c r="E12" s="727"/>
      <c r="F12" s="728" t="s">
        <v>3018</v>
      </c>
      <c r="G12" s="727"/>
      <c r="H12" s="2219" t="str">
        <f>'Part II-Development Team'!H92</f>
        <v>Fairway Management, Inc.</v>
      </c>
      <c r="I12" s="2219"/>
      <c r="J12" s="2219"/>
      <c r="K12" s="2219"/>
      <c r="L12" s="686"/>
      <c r="M12" s="686"/>
    </row>
    <row r="13" spans="1:14" ht="15.75">
      <c r="A13" s="689" t="s">
        <v>3019</v>
      </c>
      <c r="B13" s="728"/>
      <c r="C13" s="685">
        <f>'Part VI-Revenues &amp; Expenses'!$O$62</f>
        <v>72</v>
      </c>
      <c r="E13" s="1389">
        <f>'Part VI-Revenues &amp; Expenses'!$O$58</f>
        <v>62</v>
      </c>
      <c r="F13" s="728" t="s">
        <v>4298</v>
      </c>
      <c r="G13" s="727"/>
      <c r="H13" s="1459">
        <f>'Part I-Project Information'!H72</f>
        <v>3</v>
      </c>
      <c r="I13" s="1390"/>
      <c r="J13" s="1390"/>
      <c r="K13" s="1459">
        <f>'Part I-Project Information'!P71</f>
        <v>67620</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13449266.200550128</v>
      </c>
      <c r="D18" s="1437">
        <f>IF(C18=0,"",$C$29/C18)</f>
        <v>0.18588374731535467</v>
      </c>
      <c r="E18" s="727" t="s">
        <v>3331</v>
      </c>
      <c r="F18" s="728" t="s">
        <v>3332</v>
      </c>
      <c r="G18" s="727"/>
      <c r="H18" s="2218">
        <f>'Part IV-A-Uses of Funds'!B44</f>
        <v>8345724</v>
      </c>
      <c r="I18" s="2218"/>
      <c r="J18" s="1436">
        <f>IF(H18=0,"",$C$29/H18)</f>
        <v>0.29955459825894076</v>
      </c>
      <c r="K18" s="2219" t="s">
        <v>3333</v>
      </c>
      <c r="L18" s="2219"/>
      <c r="M18" s="686"/>
    </row>
    <row r="19" spans="1:13" ht="15.75">
      <c r="A19" s="689" t="s">
        <v>3022</v>
      </c>
      <c r="B19" s="686"/>
      <c r="C19" s="1460">
        <f>C18/C13</f>
        <v>186795.36389652954</v>
      </c>
      <c r="D19" s="727"/>
      <c r="E19" s="686"/>
      <c r="F19" s="689" t="s">
        <v>3022</v>
      </c>
      <c r="G19" s="686"/>
      <c r="H19" s="2220">
        <f>H18/C13</f>
        <v>115912.83333333333</v>
      </c>
      <c r="I19" s="2220"/>
      <c r="J19" s="686"/>
      <c r="K19" s="686"/>
      <c r="L19" s="686"/>
      <c r="M19" s="686"/>
    </row>
    <row r="20" spans="1:13" ht="15.75">
      <c r="A20" s="689" t="s">
        <v>3023</v>
      </c>
      <c r="B20" s="686"/>
      <c r="C20" s="1462">
        <f>C18/K13</f>
        <v>198.89479740535535</v>
      </c>
      <c r="D20" s="732"/>
      <c r="E20" s="733"/>
      <c r="F20" s="689" t="s">
        <v>3023</v>
      </c>
      <c r="G20" s="686"/>
      <c r="H20" s="2221">
        <f>H18/K13</f>
        <v>123.4209405501331</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Bellweather Enterprise Real Estate Capital</v>
      </c>
      <c r="C25" s="739">
        <f>'Part III-Sources of Funds'!I37</f>
        <v>2500000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2500000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10942986.5</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2500000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0.18588374731535467</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0.29955459825894076</v>
      </c>
      <c r="D40" s="686"/>
      <c r="E40" s="686"/>
      <c r="F40" s="689"/>
      <c r="G40" s="689" t="s">
        <v>3043</v>
      </c>
      <c r="H40" s="686"/>
      <c r="I40" s="686"/>
      <c r="K40" s="741">
        <f>C30/C18</f>
        <v>0.81364933497653491</v>
      </c>
      <c r="L40" s="686"/>
      <c r="M40" s="686"/>
    </row>
    <row r="46" spans="1:13" ht="15.75">
      <c r="A46" s="752" t="s">
        <v>3044</v>
      </c>
      <c r="B46" s="722"/>
      <c r="C46" s="722"/>
      <c r="D46" s="722"/>
      <c r="E46" s="722"/>
      <c r="F46" s="722"/>
      <c r="G46" s="722"/>
      <c r="H46" s="722"/>
      <c r="I46" s="722"/>
      <c r="J46" s="722"/>
      <c r="K46" s="722"/>
      <c r="L46" s="722"/>
      <c r="M46" s="686"/>
    </row>
    <row r="47" spans="1:13" ht="15.75">
      <c r="A47" s="752" t="str">
        <f>C8</f>
        <v>Peaks of Cartersville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582900</v>
      </c>
      <c r="D52" s="758"/>
      <c r="E52" s="758">
        <f>$C$52</f>
        <v>582900</v>
      </c>
      <c r="F52" s="758"/>
      <c r="G52" s="758">
        <f>$C$52</f>
        <v>582900</v>
      </c>
      <c r="H52" s="758"/>
      <c r="I52" s="758">
        <f>$C$52</f>
        <v>582900</v>
      </c>
      <c r="J52" s="758"/>
      <c r="K52" s="758">
        <f>$C$52</f>
        <v>582900</v>
      </c>
      <c r="L52" s="759"/>
      <c r="M52" s="28"/>
      <c r="N52" s="28"/>
    </row>
    <row r="53" spans="1:14" s="686" customFormat="1" ht="18.75" customHeight="1">
      <c r="B53" s="757" t="s">
        <v>3051</v>
      </c>
      <c r="C53" s="758">
        <f>'Part VII-Pro Forma'!B15</f>
        <v>11658</v>
      </c>
      <c r="D53" s="758"/>
      <c r="E53" s="758">
        <f>$C$53</f>
        <v>11658</v>
      </c>
      <c r="F53" s="758"/>
      <c r="G53" s="758">
        <f>$C$53</f>
        <v>11658</v>
      </c>
      <c r="H53" s="758"/>
      <c r="I53" s="758">
        <f>$C$53</f>
        <v>11658</v>
      </c>
      <c r="J53" s="758"/>
      <c r="K53" s="758">
        <f>$C$53</f>
        <v>11658</v>
      </c>
      <c r="L53" s="759"/>
      <c r="M53" s="28"/>
      <c r="N53" s="28"/>
    </row>
    <row r="54" spans="1:14" s="686" customFormat="1" ht="18.75" customHeight="1">
      <c r="B54" s="757" t="s">
        <v>3049</v>
      </c>
      <c r="C54" s="758">
        <f>'Part VII-Pro Forma'!B16</f>
        <v>-41619.060000000005</v>
      </c>
      <c r="D54" s="758"/>
      <c r="E54" s="758">
        <f>-($C$52+E53)*F50</f>
        <v>-59455.8</v>
      </c>
      <c r="F54" s="760"/>
      <c r="G54" s="758">
        <f>-($C$52+G53)*0.07</f>
        <v>-41619.060000000005</v>
      </c>
      <c r="H54" s="758"/>
      <c r="I54" s="758">
        <f>-($C$52+I53)*0.07</f>
        <v>-41619.060000000005</v>
      </c>
      <c r="J54" s="758"/>
      <c r="K54" s="758">
        <f>-($C$52+K53)*L54</f>
        <v>-59455.8</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552938.93999999994</v>
      </c>
      <c r="D56" s="758"/>
      <c r="E56" s="764">
        <f>SUM(E52:E55)</f>
        <v>535102.19999999995</v>
      </c>
      <c r="F56" s="758"/>
      <c r="G56" s="764">
        <f>SUM(G52:G55)</f>
        <v>552938.93999999994</v>
      </c>
      <c r="H56" s="758"/>
      <c r="I56" s="764">
        <f>SUM(I52:I55)</f>
        <v>552938.93999999994</v>
      </c>
      <c r="J56" s="758"/>
      <c r="K56" s="764">
        <f>SUM(K52:K55)</f>
        <v>535102.19999999995</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141050</v>
      </c>
      <c r="D58" s="758"/>
      <c r="E58" s="758">
        <f>$C$58</f>
        <v>141050</v>
      </c>
      <c r="F58" s="758"/>
      <c r="G58" s="758">
        <f>$C$58</f>
        <v>141050</v>
      </c>
      <c r="H58" s="758"/>
      <c r="I58" s="758">
        <f>$C$58</f>
        <v>141050</v>
      </c>
      <c r="J58" s="758"/>
      <c r="K58" s="758">
        <f>$C$58</f>
        <v>141050</v>
      </c>
      <c r="L58" s="759"/>
      <c r="M58" s="28"/>
      <c r="N58" s="28"/>
    </row>
    <row r="59" spans="1:14" s="686" customFormat="1" ht="18.75" customHeight="1">
      <c r="B59" s="757" t="s">
        <v>3054</v>
      </c>
      <c r="C59" s="758">
        <f>+'Part VI-Revenues &amp; Expenses'!F188</f>
        <v>64469</v>
      </c>
      <c r="D59" s="758"/>
      <c r="E59" s="758">
        <f>$C$59</f>
        <v>64469</v>
      </c>
      <c r="F59" s="758"/>
      <c r="G59" s="758">
        <f>$C$59</f>
        <v>64469</v>
      </c>
      <c r="H59" s="758"/>
      <c r="I59" s="758">
        <f>$C$59</f>
        <v>64469</v>
      </c>
      <c r="J59" s="758"/>
      <c r="K59" s="758">
        <f>$C$59*(1+$L$59)</f>
        <v>67047.760000000009</v>
      </c>
      <c r="L59" s="766">
        <v>0.04</v>
      </c>
      <c r="M59" s="28"/>
      <c r="N59" s="28"/>
    </row>
    <row r="60" spans="1:14" s="686" customFormat="1" ht="18.75" customHeight="1">
      <c r="B60" s="757" t="s">
        <v>1387</v>
      </c>
      <c r="C60" s="758">
        <f>+'Part VI-Revenues &amp; Expenses'!K185</f>
        <v>29250</v>
      </c>
      <c r="D60" s="758"/>
      <c r="E60" s="758">
        <f>$C$60</f>
        <v>29250</v>
      </c>
      <c r="F60" s="758"/>
      <c r="G60" s="758">
        <f>$C$60</f>
        <v>29250</v>
      </c>
      <c r="H60" s="758"/>
      <c r="I60" s="758">
        <f>$C$60*(1+$J$50)</f>
        <v>30127.5</v>
      </c>
      <c r="J60" s="760"/>
      <c r="K60" s="758">
        <f>$C$60*(1+$J$50)</f>
        <v>30127.5</v>
      </c>
      <c r="L60" s="761">
        <v>0.03</v>
      </c>
      <c r="M60" s="28"/>
      <c r="N60" s="28"/>
    </row>
    <row r="61" spans="1:14" s="686" customFormat="1" ht="18.75" customHeight="1">
      <c r="B61" s="757" t="s">
        <v>1388</v>
      </c>
      <c r="C61" s="758">
        <f>+'Part VI-Revenues &amp; Expenses'!P167</f>
        <v>68655</v>
      </c>
      <c r="D61" s="758"/>
      <c r="E61" s="758">
        <f>$C$61</f>
        <v>68655</v>
      </c>
      <c r="F61" s="758"/>
      <c r="G61" s="758">
        <f>$C$61*(1+H50)</f>
        <v>72087.75</v>
      </c>
      <c r="H61" s="760"/>
      <c r="I61" s="758">
        <f>$C$61</f>
        <v>68655</v>
      </c>
      <c r="J61" s="758"/>
      <c r="K61" s="758">
        <f>$C$61*(1+$L$61)</f>
        <v>72087.75</v>
      </c>
      <c r="L61" s="761">
        <v>0.05</v>
      </c>
      <c r="M61" s="28"/>
      <c r="N61" s="28"/>
    </row>
    <row r="62" spans="1:14" s="686" customFormat="1" ht="18.75" customHeight="1">
      <c r="B62" s="763" t="s">
        <v>3055</v>
      </c>
      <c r="C62" s="764">
        <f>SUM(C58:C61)</f>
        <v>303424</v>
      </c>
      <c r="D62" s="758"/>
      <c r="E62" s="764">
        <f>SUM(E58:E61)</f>
        <v>303424</v>
      </c>
      <c r="F62" s="758"/>
      <c r="G62" s="764">
        <f>SUM(G58:G61)</f>
        <v>306856.75</v>
      </c>
      <c r="H62" s="758"/>
      <c r="I62" s="764">
        <f>SUM(I58:I61)</f>
        <v>304301.5</v>
      </c>
      <c r="J62" s="758"/>
      <c r="K62" s="764">
        <f>SUM(K58:K61)</f>
        <v>310313.01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249514.93999999994</v>
      </c>
      <c r="D64" s="770"/>
      <c r="E64" s="770">
        <f>E56-E62</f>
        <v>231678.19999999995</v>
      </c>
      <c r="F64" s="770"/>
      <c r="G64" s="770">
        <f>G56-G62</f>
        <v>246082.18999999994</v>
      </c>
      <c r="H64" s="770"/>
      <c r="I64" s="770">
        <f>I56-I62</f>
        <v>248637.43999999994</v>
      </c>
      <c r="J64" s="770"/>
      <c r="K64" s="770">
        <f>K56-K62</f>
        <v>224789.18999999994</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18000</v>
      </c>
      <c r="D66" s="765"/>
      <c r="E66" s="765">
        <f>$C$66</f>
        <v>18000</v>
      </c>
      <c r="F66" s="765"/>
      <c r="G66" s="765">
        <f>$C$66</f>
        <v>18000</v>
      </c>
      <c r="H66" s="765"/>
      <c r="I66" s="765">
        <f>$C$66</f>
        <v>18000</v>
      </c>
      <c r="J66" s="765"/>
      <c r="K66" s="765">
        <f>$C$66</f>
        <v>18000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33176</v>
      </c>
      <c r="D68" s="765"/>
      <c r="E68" s="765">
        <f>$C$68</f>
        <v>33176</v>
      </c>
      <c r="F68" s="765"/>
      <c r="G68" s="765">
        <f>$C$68</f>
        <v>33176</v>
      </c>
      <c r="H68" s="765"/>
      <c r="I68" s="765">
        <f>$C$68</f>
        <v>33176</v>
      </c>
      <c r="J68" s="765"/>
      <c r="K68" s="765">
        <f>$C$68</f>
        <v>33176</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198338.93999999994</v>
      </c>
      <c r="D70" s="774"/>
      <c r="E70" s="773">
        <f>E64-E66-E68</f>
        <v>180502.19999999995</v>
      </c>
      <c r="F70" s="774"/>
      <c r="G70" s="773">
        <f>G64-G66-G68</f>
        <v>194906.18999999994</v>
      </c>
      <c r="H70" s="774"/>
      <c r="I70" s="773">
        <f>I64-I66-I68</f>
        <v>197461.43999999994</v>
      </c>
      <c r="J70" s="774"/>
      <c r="K70" s="773">
        <f>K64-K66-K68</f>
        <v>173613.18999999994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1.2818299617867568</v>
      </c>
      <c r="D72" s="776"/>
      <c r="E72" s="1438">
        <f>-E70/E75</f>
        <v>1.166554223434014</v>
      </c>
      <c r="F72" s="776"/>
      <c r="G72" s="1438">
        <f>-G70/G75</f>
        <v>1.2596446975046975</v>
      </c>
      <c r="H72" s="776"/>
      <c r="I72" s="1438">
        <f>-I70/I75</f>
        <v>1.2761588323985091</v>
      </c>
      <c r="J72" s="776"/>
      <c r="K72" s="1438">
        <f>-K70/K75</f>
        <v>1.1220317538420692</v>
      </c>
      <c r="L72" s="777"/>
      <c r="M72" s="254"/>
      <c r="N72" s="254"/>
    </row>
    <row r="73" spans="1:14" s="686" customFormat="1" ht="18.75" customHeight="1">
      <c r="A73" s="28"/>
      <c r="B73" s="757" t="s">
        <v>3061</v>
      </c>
      <c r="C73" s="1439">
        <f>C76/C62</f>
        <v>0.14371920350027459</v>
      </c>
      <c r="D73" s="778"/>
      <c r="E73" s="1439">
        <f>E76/E62</f>
        <v>8.4934334801687827E-2</v>
      </c>
      <c r="F73" s="778"/>
      <c r="G73" s="1439">
        <f>G76/G62</f>
        <v>0.13092462721731662</v>
      </c>
      <c r="H73" s="778"/>
      <c r="I73" s="1439">
        <f>I76/I62</f>
        <v>0.14042111393754983</v>
      </c>
      <c r="J73" s="778"/>
      <c r="K73" s="1439">
        <f>K76/K62</f>
        <v>6.0848578675020165E-2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-154731.08439713262</v>
      </c>
      <c r="D75" s="758"/>
      <c r="E75" s="758">
        <f>$C$75</f>
        <v>-154731.08439713262</v>
      </c>
      <c r="F75" s="758"/>
      <c r="G75" s="758">
        <f>$C$75</f>
        <v>-154731.08439713262</v>
      </c>
      <c r="H75" s="758"/>
      <c r="I75" s="758">
        <f>$C$75</f>
        <v>-154731.08439713262</v>
      </c>
      <c r="J75" s="758"/>
      <c r="K75" s="758">
        <f>$C$75</f>
        <v>-154731.08439713262</v>
      </c>
      <c r="L75" s="34"/>
      <c r="M75" s="28"/>
      <c r="N75" s="28"/>
    </row>
    <row r="76" spans="1:14" s="686" customFormat="1" ht="18.75" customHeight="1">
      <c r="A76" s="28"/>
      <c r="B76" s="757" t="s">
        <v>1175</v>
      </c>
      <c r="C76" s="758">
        <f>C70+C75</f>
        <v>43607.855602867319</v>
      </c>
      <c r="D76" s="758"/>
      <c r="E76" s="758">
        <f>E70+E75</f>
        <v>25771.115602867329</v>
      </c>
      <c r="F76" s="758"/>
      <c r="G76" s="758">
        <f>G70+G75</f>
        <v>40175.105602867319</v>
      </c>
      <c r="H76" s="758"/>
      <c r="I76" s="758">
        <f>I70+I75</f>
        <v>42730.355602867319</v>
      </c>
      <c r="J76" s="758"/>
      <c r="K76" s="758">
        <f>K70+K75</f>
        <v>18882.105602867319</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Peaks of Cartersville</v>
      </c>
    </row>
    <row r="13" spans="1:10" ht="15">
      <c r="A13" s="699"/>
      <c r="D13" s="698" t="s">
        <v>2959</v>
      </c>
      <c r="F13" s="1467" t="str">
        <f>Overview!E8</f>
        <v>2018-035</v>
      </c>
    </row>
    <row r="14" spans="1:10" ht="15">
      <c r="A14" s="699"/>
      <c r="D14" s="698" t="s">
        <v>2960</v>
      </c>
      <c r="F14" s="1467" t="str">
        <f>Overview!H8</f>
        <v>Cartersville, Bartow</v>
      </c>
    </row>
    <row r="15" spans="1:10" ht="15">
      <c r="A15" s="699"/>
      <c r="D15" s="698" t="s">
        <v>3324</v>
      </c>
      <c r="F15" s="2225">
        <f>Overview!$C$25</f>
        <v>2500000</v>
      </c>
      <c r="G15" s="2225"/>
      <c r="H15" s="2225"/>
    </row>
    <row r="16" spans="1:10" ht="15">
      <c r="A16" s="699"/>
      <c r="D16" s="701" t="s">
        <v>2961</v>
      </c>
      <c r="F16" s="702">
        <f>Overview!C13</f>
        <v>72</v>
      </c>
      <c r="G16" s="703" t="s">
        <v>3325</v>
      </c>
      <c r="H16" s="1391">
        <f>Overview!E13</f>
        <v>62</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4289</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4299</v>
      </c>
      <c r="B44" s="2211"/>
      <c r="C44" s="2211"/>
      <c r="D44" s="2211"/>
      <c r="E44" s="2211"/>
      <c r="F44" s="2211"/>
      <c r="G44" s="2211"/>
      <c r="H44" s="2211"/>
      <c r="I44" s="2211"/>
      <c r="J44" s="2210"/>
    </row>
    <row r="45" spans="1:10" ht="3" customHeight="1"/>
    <row r="46" spans="1:10" ht="72.75" customHeight="1">
      <c r="A46" s="2210" t="s">
        <v>4300</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4301</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4302</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4303</v>
      </c>
      <c r="B54" s="2229"/>
      <c r="C54" s="2229"/>
      <c r="D54" s="2229"/>
      <c r="E54" s="2229"/>
      <c r="F54" s="2229"/>
      <c r="G54" s="2229"/>
      <c r="H54" s="2229"/>
      <c r="I54" s="2229"/>
      <c r="J54" s="2229"/>
    </row>
    <row r="55" spans="1:17" ht="3" customHeight="1"/>
    <row r="56" spans="1:17" ht="73.5" customHeight="1">
      <c r="A56" s="2210" t="s">
        <v>4304</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781915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7627986.5</v>
      </c>
      <c r="M61" s="713">
        <f>'Part IV-A-Uses of Funds'!$J$175</f>
        <v>850000</v>
      </c>
      <c r="N61" s="714">
        <f>'Part IV-A-Uses of Funds'!N168</f>
        <v>0.89749999999999996</v>
      </c>
      <c r="O61" s="712">
        <f>'Part III-Sources of Funds'!I50</f>
        <v>3315000</v>
      </c>
      <c r="P61" s="713">
        <f>M61</f>
        <v>850000</v>
      </c>
      <c r="Q61" s="714">
        <f>'Part IV-A-Uses of Funds'!Q168</f>
        <v>0.39</v>
      </c>
    </row>
    <row r="62" spans="1:17" ht="18.75" customHeight="1">
      <c r="A62" s="715" t="s">
        <v>2972</v>
      </c>
    </row>
    <row r="63" spans="1:17" ht="159.75" customHeight="1">
      <c r="A63" s="2229" t="s">
        <v>4305</v>
      </c>
      <c r="B63" s="2229"/>
      <c r="C63" s="2229"/>
      <c r="D63" s="2229"/>
      <c r="E63" s="2229"/>
      <c r="F63" s="2229"/>
      <c r="G63" s="2229"/>
      <c r="H63" s="2229"/>
      <c r="I63" s="2229"/>
      <c r="J63" s="2229"/>
      <c r="L63" s="716">
        <f>'Part VII-Pro Forma'!K67</f>
        <v>1874472.2988453386</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4517</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4306</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1874472.2988453386</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4307</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Peaks of Cartersville</v>
      </c>
    </row>
    <row r="2" spans="1:15" ht="13.5" customHeight="1"/>
    <row r="3" spans="1:15" ht="13.5" customHeight="1">
      <c r="A3" s="699" t="s">
        <v>3068</v>
      </c>
      <c r="C3" s="698" t="s">
        <v>3069</v>
      </c>
      <c r="E3" s="784">
        <f>SUM('Part IV-A-Uses of Funds'!J149,'Part IV-A-Uses of Funds'!M149,'Part IV-A-Uses of Funds'!P149)</f>
        <v>11596198</v>
      </c>
      <c r="F3" s="1467" t="s">
        <v>3070</v>
      </c>
      <c r="H3" s="1440">
        <v>27.5</v>
      </c>
      <c r="I3" s="698" t="s">
        <v>2485</v>
      </c>
      <c r="K3" s="703" t="s">
        <v>3091</v>
      </c>
      <c r="M3" s="1467"/>
      <c r="O3" s="785"/>
    </row>
    <row r="4" spans="1:15" ht="13.5" customHeight="1">
      <c r="C4" s="698" t="s">
        <v>3579</v>
      </c>
      <c r="E4" s="784">
        <f>SUM('Part IV-A-Uses of Funds'!G85:H89)</f>
        <v>8000</v>
      </c>
      <c r="F4" s="1467" t="s">
        <v>4519</v>
      </c>
      <c r="H4" s="699">
        <f>'Part III-Sources of Funds'!M37</f>
        <v>40</v>
      </c>
      <c r="I4" s="698" t="s">
        <v>2485</v>
      </c>
      <c r="K4" s="786" t="s">
        <v>3336</v>
      </c>
      <c r="M4" s="1467"/>
    </row>
    <row r="5" spans="1:15" ht="13.5" customHeight="1">
      <c r="C5" s="698" t="s">
        <v>3580</v>
      </c>
      <c r="E5" s="784">
        <f>SUM('Part IV-A-Uses of Funds'!G96:H102)</f>
        <v>135100</v>
      </c>
      <c r="F5" s="1467" t="s">
        <v>4518</v>
      </c>
      <c r="H5" s="1440">
        <v>15</v>
      </c>
      <c r="I5" s="698" t="s">
        <v>2485</v>
      </c>
      <c r="K5" s="785">
        <f>-E6</f>
        <v>-10942986.5</v>
      </c>
    </row>
    <row r="6" spans="1:15" ht="13.5" customHeight="1">
      <c r="C6" s="698" t="s">
        <v>3071</v>
      </c>
      <c r="E6" s="787">
        <f>'Part III-Sources of Funds'!$I$49+'Part III-Sources of Funds'!$I$50</f>
        <v>10942986.5</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32437.855602867319</v>
      </c>
      <c r="D9" s="792">
        <f>'Part VII-Pro Forma'!C30</f>
        <v>39359.914402867376</v>
      </c>
      <c r="E9" s="792">
        <f>'Part VII-Pro Forma'!D30</f>
        <v>40030.867178867396</v>
      </c>
      <c r="F9" s="792">
        <f>'Part VII-Pro Forma'!E30</f>
        <v>40616.4589943873</v>
      </c>
      <c r="G9" s="792">
        <f>'Part VII-Pro Forma'!F30</f>
        <v>41111.263029737864</v>
      </c>
      <c r="H9" s="792">
        <f>'Part VII-Pro Forma'!G30</f>
        <v>41510.674540820852</v>
      </c>
      <c r="I9" s="792">
        <f>'Part VII-Pro Forma'!H30</f>
        <v>41808.9046190019</v>
      </c>
      <c r="K9" s="785" t="e">
        <f>F24</f>
        <v>#VALUE!</v>
      </c>
      <c r="N9" s="793" t="s">
        <v>3077</v>
      </c>
    </row>
    <row r="10" spans="1:15" ht="13.5" customHeight="1">
      <c r="A10" s="698" t="s">
        <v>3076</v>
      </c>
      <c r="C10" s="1398">
        <f>'Part III-Sources of Funds'!I37-'Part VII-Pro Forma'!B37</f>
        <v>17672.156417542603</v>
      </c>
      <c r="D10" s="794">
        <f>'Part VII-Pro Forma'!B37-'Part VII-Pro Forma'!C37</f>
        <v>18669.004949454684</v>
      </c>
      <c r="E10" s="794">
        <f>'Part VII-Pro Forma'!C37-'Part VII-Pro Forma'!D37</f>
        <v>19722.083574180026</v>
      </c>
      <c r="F10" s="794">
        <f>'Part VII-Pro Forma'!D37-'Part VII-Pro Forma'!E37</f>
        <v>20834.564110944513</v>
      </c>
      <c r="G10" s="794">
        <f>'Part VII-Pro Forma'!E37-'Part VII-Pro Forma'!F37</f>
        <v>22009.7972945082</v>
      </c>
      <c r="H10" s="794">
        <f>'Part VII-Pro Forma'!F37-'Part VII-Pro Forma'!G37</f>
        <v>23251.322867410723</v>
      </c>
      <c r="I10" s="794">
        <f>'Part VII-Pro Forma'!G37-'Part VII-Pro Forma'!H37</f>
        <v>24562.880241494626</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-18000</v>
      </c>
      <c r="D13" s="1399">
        <f>'Part VII-Pro Forma'!C21</f>
        <v>-18540</v>
      </c>
      <c r="E13" s="1399">
        <f>'Part VII-Pro Forma'!D21</f>
        <v>-19096.2</v>
      </c>
      <c r="F13" s="1399">
        <f>'Part VII-Pro Forma'!E21</f>
        <v>-19669.085999999999</v>
      </c>
      <c r="G13" s="1399">
        <f>'Part VII-Pro Forma'!F21</f>
        <v>-20259.158579999999</v>
      </c>
      <c r="H13" s="1399">
        <f>'Part VII-Pro Forma'!G21</f>
        <v>-20866.933337399998</v>
      </c>
      <c r="I13" s="1399">
        <f>'Part VII-Pro Forma'!H21</f>
        <v>-21492.941337521999</v>
      </c>
      <c r="K13" s="785" t="e">
        <f>C44</f>
        <v>#VALUE!</v>
      </c>
      <c r="O13" s="790"/>
    </row>
    <row r="14" spans="1:15" ht="13.5" customHeight="1">
      <c r="A14" s="796" t="s">
        <v>3583</v>
      </c>
      <c r="B14" s="797"/>
      <c r="C14" s="1399">
        <f>'Part VII-Pro Forma'!B29</f>
        <v>-6170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421679.92727272725</v>
      </c>
      <c r="D15" s="799">
        <f t="shared" si="0"/>
        <v>421679.92727272725</v>
      </c>
      <c r="E15" s="799">
        <f t="shared" si="0"/>
        <v>421679.92727272725</v>
      </c>
      <c r="F15" s="799">
        <f t="shared" si="0"/>
        <v>421679.92727272725</v>
      </c>
      <c r="G15" s="799">
        <f t="shared" si="0"/>
        <v>421679.92727272725</v>
      </c>
      <c r="H15" s="799">
        <f t="shared" si="0"/>
        <v>421679.92727272725</v>
      </c>
      <c r="I15" s="799">
        <f t="shared" si="0"/>
        <v>421679.92727272725</v>
      </c>
      <c r="K15" s="785" t="e">
        <f>E44</f>
        <v>#VALUE!</v>
      </c>
      <c r="O15" s="790"/>
    </row>
    <row r="16" spans="1:15" ht="13.5" customHeight="1">
      <c r="A16" s="798" t="s">
        <v>3081</v>
      </c>
      <c r="C16" s="799">
        <f>IF(C$8&lt;=$H$4,($E$4/$H$4),0)+IF(C$8&lt;=$H$5,($E$5/$H$5),0)</f>
        <v>9206.6666666666661</v>
      </c>
      <c r="D16" s="799">
        <f t="shared" ref="D16:I16" si="1">IF(D$8&lt;=$H$4,($E$4/$H$4),0)+IF(D$8&lt;=$H$5,($E$5/$H$5),0)</f>
        <v>9206.6666666666661</v>
      </c>
      <c r="E16" s="799">
        <f t="shared" si="1"/>
        <v>9206.6666666666661</v>
      </c>
      <c r="F16" s="799">
        <f t="shared" si="1"/>
        <v>9206.6666666666661</v>
      </c>
      <c r="G16" s="799">
        <f t="shared" si="1"/>
        <v>9206.6666666666661</v>
      </c>
      <c r="H16" s="799">
        <f t="shared" si="1"/>
        <v>9206.6666666666661</v>
      </c>
      <c r="I16" s="799">
        <f t="shared" si="1"/>
        <v>9206.6666666666661</v>
      </c>
      <c r="K16" s="785" t="e">
        <f>F44</f>
        <v>#VALUE!</v>
      </c>
      <c r="M16" s="698" t="s">
        <v>3085</v>
      </c>
      <c r="O16" s="790">
        <f>E3</f>
        <v>11596198</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8433598.5454545449</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3162599.4545454551</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3088</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3162599.4545454551</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-3162599.4545454551</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42001.973745728988</v>
      </c>
      <c r="D29" s="792">
        <f>'Part VII-Pro Forma'!J30</f>
        <v>42083.705135383119</v>
      </c>
      <c r="E29" s="792">
        <f>'Part VII-Pro Forma'!K30</f>
        <v>42047.71785963414</v>
      </c>
      <c r="F29" s="792">
        <f>'Part VII-Pro Forma'!B60</f>
        <v>41889.419746378262</v>
      </c>
      <c r="G29" s="792">
        <f>'Part VII-Pro Forma'!C60</f>
        <v>41602.000046105182</v>
      </c>
      <c r="H29" s="792">
        <f>'Part VII-Pro Forma'!D60</f>
        <v>41179.421858332702</v>
      </c>
      <c r="I29" s="792">
        <f>'Part VII-Pro Forma'!E60</f>
        <v>40615.414310505555</v>
      </c>
      <c r="N29" s="803"/>
      <c r="O29" s="803"/>
    </row>
    <row r="30" spans="1:17" ht="13.5" customHeight="1">
      <c r="A30" s="698" t="s">
        <v>3076</v>
      </c>
      <c r="C30" s="794">
        <f>'Part VII-Pro Forma'!H37-'Part VII-Pro Forma'!I37</f>
        <v>25948.41976082325</v>
      </c>
      <c r="D30" s="794">
        <f>'Part VII-Pro Forma'!I37-'Part VII-Pro Forma'!J37</f>
        <v>27412.114599917084</v>
      </c>
      <c r="E30" s="794">
        <f>'Part VII-Pro Forma'!J37-'Part VII-Pro Forma'!K37</f>
        <v>28958.373333141673</v>
      </c>
      <c r="F30" s="1396">
        <f>'Part VII-Pro Forma'!K37-'Part VII-Pro Forma'!B67</f>
        <v>30591.853213109542</v>
      </c>
      <c r="G30" s="1396">
        <f>'Part VII-Pro Forma'!B67-'Part VII-Pro Forma'!C67</f>
        <v>32317.474198089447</v>
      </c>
      <c r="H30" s="1396">
        <f>'Part VII-Pro Forma'!C67-'Part VII-Pro Forma'!D67</f>
        <v>34140.433770668693</v>
      </c>
      <c r="I30" s="1396">
        <f>'Part VII-Pro Forma'!D67-'Part VII-Pro Forma'!E67</f>
        <v>36066.222592305858</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-632519.8909090911</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-22137.72957764766</v>
      </c>
      <c r="D33" s="1399">
        <f>'Part VII-Pro Forma'!J21</f>
        <v>-22801.861464977086</v>
      </c>
      <c r="E33" s="1399">
        <f>'Part VII-Pro Forma'!K21</f>
        <v>-23485.9173089264</v>
      </c>
      <c r="F33" s="1399">
        <f>'Part VII-Pro Forma'!B51</f>
        <v>-24190.494828194191</v>
      </c>
      <c r="G33" s="1399">
        <f>'Part VII-Pro Forma'!C51</f>
        <v>-24916.209673040019</v>
      </c>
      <c r="H33" s="1399">
        <f>'Part VII-Pro Forma'!D51</f>
        <v>-25663.695963231214</v>
      </c>
      <c r="I33" s="1399">
        <f>'Part VII-Pro Forma'!E51</f>
        <v>-26433.606842128149</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421679.92727272725</v>
      </c>
      <c r="D35" s="799">
        <f t="shared" si="8"/>
        <v>421679.92727272725</v>
      </c>
      <c r="E35" s="799">
        <f t="shared" si="8"/>
        <v>421679.92727272725</v>
      </c>
      <c r="F35" s="799">
        <f t="shared" si="8"/>
        <v>421679.92727272725</v>
      </c>
      <c r="G35" s="799">
        <f t="shared" si="8"/>
        <v>421679.92727272725</v>
      </c>
      <c r="H35" s="799">
        <f t="shared" si="8"/>
        <v>421679.92727272725</v>
      </c>
      <c r="I35" s="799">
        <f t="shared" si="8"/>
        <v>421679.92727272725</v>
      </c>
    </row>
    <row r="36" spans="1:15" ht="13.5" customHeight="1">
      <c r="A36" s="798" t="s">
        <v>3081</v>
      </c>
      <c r="C36" s="792">
        <f>IF(C$28&lt;=$H$4,($E$4/$H$4),0)+IF(C$28&lt;=$H$5,($E$5/$H$5),0)</f>
        <v>9206.6666666666661</v>
      </c>
      <c r="D36" s="792">
        <f t="shared" ref="D36:I36" si="9">IF(D$28&lt;=$H$4,($E$4/$H$4),0)+IF(D$28&lt;=$H$5,($E$5/$H$5),0)</f>
        <v>9206.6666666666661</v>
      </c>
      <c r="E36" s="792">
        <f t="shared" si="9"/>
        <v>9206.6666666666661</v>
      </c>
      <c r="F36" s="792">
        <f t="shared" si="9"/>
        <v>9206.6666666666661</v>
      </c>
      <c r="G36" s="792">
        <f t="shared" si="9"/>
        <v>9206.6666666666661</v>
      </c>
      <c r="H36" s="792">
        <f t="shared" si="9"/>
        <v>9206.6666666666661</v>
      </c>
      <c r="I36" s="792">
        <f t="shared" si="9"/>
        <v>9206.6666666666661</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850000</v>
      </c>
      <c r="D41" s="800">
        <f>C41</f>
        <v>850000</v>
      </c>
      <c r="E41" s="800">
        <f>D41</f>
        <v>850000</v>
      </c>
      <c r="F41" s="800">
        <v>0</v>
      </c>
      <c r="G41" s="800">
        <v>0</v>
      </c>
      <c r="H41" s="800">
        <v>0</v>
      </c>
      <c r="I41" s="800">
        <v>0</v>
      </c>
    </row>
    <row r="42" spans="1:15" ht="13.5" customHeight="1">
      <c r="A42" s="698" t="s">
        <v>3088</v>
      </c>
      <c r="C42" s="800">
        <f>C22</f>
        <v>850000</v>
      </c>
      <c r="D42" s="800">
        <f>C42</f>
        <v>850000</v>
      </c>
      <c r="E42" s="800">
        <f>D42</f>
        <v>850000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39902.464481534</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38100.641040926334</v>
      </c>
      <c r="D50" s="1397">
        <f>'Part VII-Pro Forma'!F67-'Part VII-Pro Forma'!G67</f>
        <v>40249.816681362223</v>
      </c>
      <c r="E50" s="1397">
        <f>'Part VII-Pro Forma'!G67-'Part VII-Pro Forma'!H67</f>
        <v>42520.222721267957</v>
      </c>
      <c r="F50" s="1397">
        <f>'Part VII-Pro Forma'!H67-'Part VII-Pro Forma'!I67</f>
        <v>44918.697508091107</v>
      </c>
      <c r="G50" s="1397">
        <f>'Part VII-Pro Forma'!I67-'Part VII-Pro Forma'!J67</f>
        <v>47452.465125827817</v>
      </c>
      <c r="H50" s="1397">
        <f>'Part VII-Pro Forma'!J67-'Part VII-Pro Forma'!K67</f>
        <v>50129.157153595006</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-27226.615047391999</v>
      </c>
      <c r="D53" s="1399">
        <f>'Part VII-Pro Forma'!G51</f>
        <v>-28043.413498813759</v>
      </c>
      <c r="E53" s="1399">
        <f>'Part VII-Pro Forma'!H51</f>
        <v>-28884.715903778168</v>
      </c>
      <c r="F53" s="1399">
        <f>'Part VII-Pro Forma'!I51</f>
        <v>-29751.257380891511</v>
      </c>
      <c r="G53" s="1399">
        <f>'Part VII-Pro Forma'!J51</f>
        <v>-30643.795102318258</v>
      </c>
      <c r="H53" s="1399">
        <f>'Part VII-Pro Forma'!K51</f>
        <v>-31563.108955387805</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421679.92727272725</v>
      </c>
      <c r="D55" s="799">
        <f t="shared" si="14"/>
        <v>421679.92727272725</v>
      </c>
      <c r="E55" s="799">
        <f t="shared" si="14"/>
        <v>421679.92727272725</v>
      </c>
      <c r="F55" s="799">
        <f t="shared" si="14"/>
        <v>421679.92727272725</v>
      </c>
      <c r="G55" s="799">
        <f t="shared" si="14"/>
        <v>421679.92727272725</v>
      </c>
      <c r="H55" s="799">
        <f t="shared" si="14"/>
        <v>421679.92727272725</v>
      </c>
    </row>
    <row r="56" spans="1:10" ht="13.5" customHeight="1">
      <c r="A56" s="798" t="s">
        <v>3081</v>
      </c>
      <c r="C56" s="792">
        <f t="shared" ref="C56:H56" si="15">IF(C$48&lt;=$H$4,($E$4/$H$4),0)+IF(C$48&lt;=$H$5,($E$5/$H$5),0)</f>
        <v>9206.6666666666661</v>
      </c>
      <c r="D56" s="792">
        <f t="shared" si="15"/>
        <v>200</v>
      </c>
      <c r="E56" s="792">
        <f t="shared" si="15"/>
        <v>200</v>
      </c>
      <c r="F56" s="792">
        <f t="shared" si="15"/>
        <v>200</v>
      </c>
      <c r="G56" s="792">
        <f t="shared" si="15"/>
        <v>200</v>
      </c>
      <c r="H56" s="792">
        <f t="shared" si="15"/>
        <v>200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20" zoomScaleNormal="12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- 2018-035 Peaks of Cartersville, Cartersville, Bartow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4515</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3897</v>
      </c>
    </row>
    <row r="6" spans="1:16" s="305" customFormat="1" ht="12" customHeight="1" thickBot="1">
      <c r="B6" s="1649" t="s">
        <v>4548</v>
      </c>
      <c r="C6" s="1649"/>
      <c r="D6" s="1649"/>
      <c r="E6" s="1433"/>
      <c r="F6" s="308"/>
      <c r="G6" s="279" t="s">
        <v>446</v>
      </c>
      <c r="H6" s="1571"/>
      <c r="I6" s="1571"/>
      <c r="J6" s="1571"/>
      <c r="O6" s="3584" t="s">
        <v>4758</v>
      </c>
      <c r="P6" s="3585"/>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3825</v>
      </c>
      <c r="I9" s="1643">
        <f>'Part IV-A-Uses of Funds'!$J$175</f>
        <v>850000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6" t="s">
        <v>4610</v>
      </c>
      <c r="G11" s="3587"/>
      <c r="H11" s="3588"/>
      <c r="I11" s="3589" t="s">
        <v>3741</v>
      </c>
      <c r="J11" s="526" t="s">
        <v>3988</v>
      </c>
      <c r="K11" s="316"/>
      <c r="L11" s="1571"/>
      <c r="O11" s="3415" t="s">
        <v>4630</v>
      </c>
      <c r="P11" s="3416"/>
    </row>
    <row r="12" spans="1:16" s="305" customFormat="1" ht="12.75" customHeight="1">
      <c r="A12" s="501"/>
      <c r="B12" s="1648" t="s">
        <v>4516</v>
      </c>
      <c r="C12" s="1648"/>
      <c r="D12" s="1648"/>
      <c r="H12" s="1571"/>
      <c r="J12" s="527" t="s">
        <v>2751</v>
      </c>
      <c r="K12" s="277"/>
      <c r="M12" s="1571"/>
      <c r="O12" s="3590" t="s">
        <v>3014</v>
      </c>
      <c r="P12" s="3591"/>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92" t="s">
        <v>3011</v>
      </c>
      <c r="G14" s="1559" t="s">
        <v>3823</v>
      </c>
    </row>
    <row r="15" spans="1:16" s="305" customFormat="1" ht="12.75" customHeight="1">
      <c r="A15" s="501"/>
      <c r="B15" s="305" t="s">
        <v>3898</v>
      </c>
      <c r="D15" s="316"/>
      <c r="F15" s="3533" t="s">
        <v>4611</v>
      </c>
      <c r="G15" s="3534"/>
      <c r="H15" s="3534"/>
      <c r="I15" s="3534"/>
      <c r="J15" s="3534"/>
      <c r="K15" s="3535"/>
      <c r="L15" s="305" t="s">
        <v>3822</v>
      </c>
      <c r="O15" s="3521" t="s">
        <v>4631</v>
      </c>
      <c r="P15" s="3551"/>
    </row>
    <row r="16" spans="1:16" s="305" customFormat="1" ht="12.75" customHeight="1">
      <c r="A16" s="501"/>
      <c r="B16" s="305" t="s">
        <v>3824</v>
      </c>
      <c r="F16" s="3592" t="s">
        <v>3014</v>
      </c>
      <c r="G16" s="305" t="s">
        <v>3881</v>
      </c>
      <c r="H16" s="1571"/>
      <c r="I16" s="179"/>
      <c r="J16" s="527"/>
      <c r="M16" s="3192" t="s">
        <v>2905</v>
      </c>
      <c r="N16" s="3193"/>
      <c r="O16" s="3193"/>
      <c r="P16" s="3194"/>
    </row>
    <row r="17" spans="1:16" s="305" customFormat="1" ht="6" customHeight="1">
      <c r="I17" s="280"/>
      <c r="J17" s="280"/>
      <c r="K17" s="280"/>
      <c r="L17" s="280"/>
      <c r="M17" s="280"/>
      <c r="N17" s="280"/>
      <c r="O17" s="280"/>
      <c r="P17" s="280"/>
    </row>
    <row r="18" spans="1:16" s="305" customFormat="1" ht="13.15" customHeight="1">
      <c r="A18" s="311" t="s">
        <v>750</v>
      </c>
      <c r="B18" s="307" t="s">
        <v>4535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3909</v>
      </c>
      <c r="F20" s="3593" t="s">
        <v>4612</v>
      </c>
      <c r="G20" s="3594"/>
      <c r="H20" s="3595"/>
      <c r="I20" s="305" t="s">
        <v>1810</v>
      </c>
      <c r="J20" s="3593" t="s">
        <v>4613</v>
      </c>
      <c r="K20" s="3594"/>
      <c r="L20" s="3595"/>
      <c r="M20" s="340" t="s">
        <v>1996</v>
      </c>
      <c r="N20" s="3521" t="s">
        <v>4614</v>
      </c>
      <c r="O20" s="3550"/>
      <c r="P20" s="3551"/>
    </row>
    <row r="21" spans="1:16" s="305" customFormat="1" ht="13.15" customHeight="1">
      <c r="B21" s="310" t="s">
        <v>1997</v>
      </c>
      <c r="F21" s="3596" t="s">
        <v>4615</v>
      </c>
      <c r="G21" s="3597"/>
      <c r="H21" s="3597"/>
      <c r="I21" s="3598"/>
      <c r="J21" s="3597"/>
      <c r="K21" s="3598"/>
      <c r="L21" s="3599"/>
      <c r="M21" s="1638" t="s">
        <v>3908</v>
      </c>
      <c r="N21" s="1639"/>
      <c r="O21" s="1639"/>
      <c r="P21" s="1639"/>
    </row>
    <row r="22" spans="1:16" s="305" customFormat="1" ht="13.15" customHeight="1">
      <c r="B22" s="310" t="s">
        <v>624</v>
      </c>
      <c r="F22" s="3596" t="s">
        <v>1217</v>
      </c>
      <c r="G22" s="3597"/>
      <c r="H22" s="3600"/>
      <c r="I22" s="310" t="s">
        <v>1812</v>
      </c>
      <c r="J22" s="3601" t="s">
        <v>856</v>
      </c>
      <c r="M22" s="1638"/>
      <c r="N22" s="1638"/>
      <c r="O22" s="1638"/>
      <c r="P22" s="1638"/>
    </row>
    <row r="23" spans="1:16" s="305" customFormat="1" ht="13.15" customHeight="1">
      <c r="B23" s="1559" t="s">
        <v>2245</v>
      </c>
      <c r="F23" s="3602">
        <v>303281636</v>
      </c>
      <c r="G23" s="3603"/>
      <c r="H23" s="3604"/>
      <c r="I23" s="310" t="s">
        <v>1733</v>
      </c>
      <c r="J23" s="3605">
        <v>7704810855</v>
      </c>
      <c r="K23" s="3606"/>
      <c r="L23" s="1561" t="s">
        <v>1732</v>
      </c>
      <c r="M23" s="3449">
        <v>302</v>
      </c>
      <c r="N23" s="1559" t="s">
        <v>1734</v>
      </c>
      <c r="O23" s="3607">
        <v>6786384181</v>
      </c>
      <c r="P23" s="3606"/>
    </row>
    <row r="24" spans="1:16" s="305" customFormat="1" ht="13.15" customHeight="1">
      <c r="B24" s="1559" t="s">
        <v>2000</v>
      </c>
      <c r="F24" s="3608" t="s">
        <v>4616</v>
      </c>
      <c r="G24" s="3609"/>
      <c r="H24" s="3609"/>
      <c r="I24" s="3550"/>
      <c r="J24" s="3609"/>
      <c r="K24" s="3610"/>
      <c r="N24" s="1559" t="s">
        <v>1995</v>
      </c>
      <c r="O24" s="3611">
        <v>7703109311</v>
      </c>
      <c r="P24" s="3612"/>
    </row>
    <row r="25" spans="1:16" s="305" customFormat="1" ht="13.5" customHeight="1">
      <c r="A25" s="501"/>
      <c r="B25" s="307" t="s">
        <v>4534</v>
      </c>
      <c r="C25" s="314"/>
      <c r="D25" s="1570"/>
      <c r="E25" s="1570"/>
      <c r="F25" s="1570"/>
      <c r="H25" s="1571"/>
      <c r="I25" s="1570"/>
      <c r="J25" s="314"/>
      <c r="K25" s="1570"/>
      <c r="P25" s="315"/>
    </row>
    <row r="26" spans="1:16" s="305" customFormat="1" ht="13.15" customHeight="1">
      <c r="B26" s="305" t="s">
        <v>3909</v>
      </c>
      <c r="F26" s="3593" t="s">
        <v>4612</v>
      </c>
      <c r="G26" s="3594"/>
      <c r="H26" s="3595"/>
      <c r="I26" s="305" t="s">
        <v>1810</v>
      </c>
      <c r="J26" s="3593" t="s">
        <v>4617</v>
      </c>
      <c r="K26" s="3594"/>
      <c r="L26" s="3595"/>
      <c r="M26" s="340" t="s">
        <v>1996</v>
      </c>
      <c r="N26" s="3521" t="s">
        <v>2490</v>
      </c>
      <c r="O26" s="3550"/>
      <c r="P26" s="3551"/>
    </row>
    <row r="27" spans="1:16" s="305" customFormat="1" ht="13.15" customHeight="1">
      <c r="B27" s="310" t="s">
        <v>1997</v>
      </c>
      <c r="F27" s="3596" t="s">
        <v>4615</v>
      </c>
      <c r="G27" s="3597"/>
      <c r="H27" s="3597"/>
      <c r="I27" s="3598"/>
      <c r="J27" s="3597"/>
      <c r="K27" s="3598"/>
      <c r="L27" s="3599"/>
      <c r="M27" s="1638" t="s">
        <v>3908</v>
      </c>
      <c r="N27" s="1639"/>
      <c r="O27" s="1639"/>
      <c r="P27" s="1639"/>
    </row>
    <row r="28" spans="1:16" s="305" customFormat="1" ht="13.15" customHeight="1">
      <c r="B28" s="310" t="s">
        <v>624</v>
      </c>
      <c r="F28" s="3596" t="s">
        <v>1217</v>
      </c>
      <c r="G28" s="3597"/>
      <c r="H28" s="3600"/>
      <c r="I28" s="310" t="s">
        <v>1812</v>
      </c>
      <c r="J28" s="3601" t="s">
        <v>856</v>
      </c>
      <c r="M28" s="1638"/>
      <c r="N28" s="1638"/>
      <c r="O28" s="1638"/>
      <c r="P28" s="1638"/>
    </row>
    <row r="29" spans="1:16" s="305" customFormat="1" ht="13.15" customHeight="1">
      <c r="B29" s="1559" t="s">
        <v>2245</v>
      </c>
      <c r="F29" s="3602">
        <v>303281636</v>
      </c>
      <c r="G29" s="3603"/>
      <c r="H29" s="3604"/>
      <c r="I29" s="310" t="s">
        <v>1733</v>
      </c>
      <c r="J29" s="3605">
        <v>7704810855</v>
      </c>
      <c r="K29" s="3606"/>
      <c r="L29" s="1561" t="s">
        <v>1732</v>
      </c>
      <c r="M29" s="3449">
        <v>100</v>
      </c>
      <c r="N29" s="1559" t="s">
        <v>1734</v>
      </c>
      <c r="O29" s="3607">
        <v>7704810853</v>
      </c>
      <c r="P29" s="3606"/>
    </row>
    <row r="30" spans="1:16" s="305" customFormat="1" ht="13.15" customHeight="1">
      <c r="B30" s="1559" t="s">
        <v>2000</v>
      </c>
      <c r="F30" s="3608" t="s">
        <v>4618</v>
      </c>
      <c r="G30" s="3609"/>
      <c r="H30" s="3609"/>
      <c r="I30" s="3550"/>
      <c r="J30" s="3609"/>
      <c r="K30" s="3610"/>
      <c r="N30" s="1559" t="s">
        <v>1995</v>
      </c>
      <c r="O30" s="3611">
        <v>4045430855</v>
      </c>
      <c r="P30" s="3612"/>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13" t="s">
        <v>4611</v>
      </c>
      <c r="G34" s="3614"/>
      <c r="H34" s="3614"/>
      <c r="I34" s="3614"/>
      <c r="J34" s="3614"/>
      <c r="K34" s="3615"/>
      <c r="L34" s="1559" t="s">
        <v>2208</v>
      </c>
      <c r="O34" s="3593" t="s">
        <v>3014</v>
      </c>
      <c r="P34" s="3595"/>
    </row>
    <row r="35" spans="1:16" s="305" customFormat="1" ht="13.15" customHeight="1">
      <c r="A35" s="317"/>
      <c r="B35" s="305" t="s">
        <v>2716</v>
      </c>
      <c r="D35" s="318"/>
      <c r="F35" s="3616" t="s">
        <v>4619</v>
      </c>
      <c r="G35" s="3617"/>
      <c r="H35" s="3617"/>
      <c r="I35" s="3617"/>
      <c r="J35" s="3617"/>
      <c r="K35" s="3618"/>
      <c r="L35" s="305" t="s">
        <v>3708</v>
      </c>
      <c r="O35" s="3619"/>
      <c r="P35" s="3600"/>
    </row>
    <row r="36" spans="1:16" s="305" customFormat="1" ht="13.15" customHeight="1">
      <c r="A36" s="317"/>
      <c r="B36" s="305" t="s">
        <v>2752</v>
      </c>
      <c r="D36" s="318"/>
      <c r="F36" s="3619" t="s">
        <v>4620</v>
      </c>
      <c r="G36" s="3597"/>
      <c r="H36" s="3597"/>
      <c r="I36" s="3598"/>
      <c r="J36" s="3597"/>
      <c r="K36" s="3600"/>
      <c r="L36" s="1559" t="s">
        <v>2066</v>
      </c>
      <c r="N36" s="3449" t="s">
        <v>3014</v>
      </c>
      <c r="O36" s="1571" t="s">
        <v>3707</v>
      </c>
      <c r="P36" s="3434"/>
    </row>
    <row r="37" spans="1:16" s="305" customFormat="1" ht="13.15" customHeight="1">
      <c r="A37" s="317"/>
      <c r="B37" s="305" t="s">
        <v>3763</v>
      </c>
      <c r="D37" s="318"/>
      <c r="F37" s="305" t="s">
        <v>3743</v>
      </c>
      <c r="G37" s="3620">
        <v>34.180038000000003</v>
      </c>
      <c r="H37" s="3621"/>
      <c r="I37" s="1561" t="s">
        <v>3744</v>
      </c>
      <c r="J37" s="3620">
        <v>-84.793854999999994</v>
      </c>
      <c r="K37" s="3621"/>
      <c r="L37" s="1559" t="s">
        <v>2299</v>
      </c>
      <c r="O37" s="3622">
        <v>5.8739999999999997</v>
      </c>
      <c r="P37" s="3623"/>
    </row>
    <row r="38" spans="1:16" s="305" customFormat="1" ht="13.15" customHeight="1">
      <c r="A38" s="501"/>
      <c r="B38" s="305" t="s">
        <v>624</v>
      </c>
      <c r="F38" s="3593" t="s">
        <v>1032</v>
      </c>
      <c r="G38" s="3624"/>
      <c r="H38" s="3625"/>
      <c r="I38" s="322" t="s">
        <v>2717</v>
      </c>
      <c r="J38" s="3602">
        <v>301202858</v>
      </c>
      <c r="K38" s="3604"/>
      <c r="L38" s="380" t="str">
        <f>IF(AND(NOT(F34=""),NOT(F38="Select from list"),J38=""),"Enter Zip!","")</f>
        <v/>
      </c>
      <c r="M38" s="320" t="s">
        <v>2926</v>
      </c>
      <c r="O38" s="3626" t="s">
        <v>4621</v>
      </c>
      <c r="P38" s="3627"/>
    </row>
    <row r="39" spans="1:16" s="305" customFormat="1" ht="13.15" customHeight="1">
      <c r="A39" s="501"/>
      <c r="B39" s="1570" t="s">
        <v>3592</v>
      </c>
      <c r="D39" s="1570"/>
      <c r="F39" s="3619" t="s">
        <v>4622</v>
      </c>
      <c r="G39" s="3598"/>
      <c r="H39" s="3599"/>
      <c r="I39" s="319" t="s">
        <v>625</v>
      </c>
      <c r="J39" s="3628" t="str">
        <f>IF($F$38="","",VLOOKUP($F$38,'DCA Underwriting Assumptions'!$T$155:$U$785,2,FALSE))</f>
        <v>Bartow</v>
      </c>
      <c r="K39" s="3629"/>
      <c r="M39" s="1559" t="s">
        <v>455</v>
      </c>
      <c r="N39" s="3630" t="s">
        <v>3014</v>
      </c>
      <c r="O39" s="1571" t="s">
        <v>456</v>
      </c>
      <c r="P39" s="3631" t="s">
        <v>3014</v>
      </c>
    </row>
    <row r="40" spans="1:16" s="305" customFormat="1" ht="13.15" customHeight="1">
      <c r="A40" s="501"/>
      <c r="B40" s="307"/>
      <c r="C40" s="305" t="s">
        <v>1570</v>
      </c>
      <c r="F40" s="3632" t="s">
        <v>3011</v>
      </c>
      <c r="G40" s="1634" t="s">
        <v>2799</v>
      </c>
      <c r="H40" s="1635"/>
      <c r="I40" s="533" t="str">
        <f>IF($J$39="","",IF(VLOOKUP($J$39,'DCA Underwriting Assumptions'!G155:M314,7,FALSE)="Rural","Yes",IF(VLOOKUP($J$39,'DCA Underwriting Assumptions'!G155:M314,7,FALSE)="Urban","No","")))</f>
        <v>No</v>
      </c>
      <c r="J40" s="1561" t="s">
        <v>2819</v>
      </c>
      <c r="K40" s="1561" t="str">
        <f>IF(OR(F40="Yes",I40="Yes"),"Rural","Urban")</f>
        <v>Rural</v>
      </c>
      <c r="M40" s="1559" t="s">
        <v>2628</v>
      </c>
      <c r="N40" s="436" t="str">
        <f>VLOOKUP($J$39,'DCA Underwriting Assumptions'!$G$155:$J$314,4)</f>
        <v>MSA</v>
      </c>
      <c r="O40" s="3633" t="str">
        <f>IF($F$38="","",VLOOKUP($J$39,'DCA Underwriting Assumptions'!$G$155:$L$314,3,FALSE))</f>
        <v>Atlanta-Sandy Springs-Marietta</v>
      </c>
      <c r="P40" s="3634"/>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35">
        <v>11</v>
      </c>
      <c r="G43" s="3636"/>
      <c r="H43" s="3635">
        <v>14</v>
      </c>
      <c r="I43" s="3636"/>
      <c r="J43" s="3635">
        <v>14</v>
      </c>
      <c r="K43" s="3636"/>
      <c r="L43" s="516" t="s">
        <v>1295</v>
      </c>
      <c r="N43" s="1632" t="s">
        <v>1296</v>
      </c>
      <c r="O43" s="1632"/>
      <c r="P43" s="1632"/>
    </row>
    <row r="44" spans="1:16" s="305" customFormat="1" ht="12.75" customHeight="1">
      <c r="A44" s="501"/>
      <c r="B44" s="310" t="s">
        <v>746</v>
      </c>
      <c r="F44" s="3637"/>
      <c r="G44" s="3638"/>
      <c r="H44" s="3637"/>
      <c r="I44" s="3638"/>
      <c r="J44" s="3637"/>
      <c r="K44" s="3638"/>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9" t="s">
        <v>4623</v>
      </c>
      <c r="G46" s="3640"/>
      <c r="H46" s="3640"/>
      <c r="I46" s="3641"/>
      <c r="J46" s="3640"/>
      <c r="K46" s="3642"/>
      <c r="L46" s="930" t="s">
        <v>2722</v>
      </c>
      <c r="M46" s="3521" t="s">
        <v>4626</v>
      </c>
      <c r="N46" s="3550"/>
      <c r="O46" s="3550"/>
      <c r="P46" s="3551"/>
    </row>
    <row r="47" spans="1:16" s="305" customFormat="1" ht="13.15" customHeight="1">
      <c r="A47" s="501"/>
      <c r="B47" s="305" t="s">
        <v>644</v>
      </c>
      <c r="F47" s="3643" t="s">
        <v>4624</v>
      </c>
      <c r="G47" s="3644"/>
      <c r="H47" s="3645"/>
      <c r="I47" s="1562" t="s">
        <v>1996</v>
      </c>
      <c r="J47" s="3616" t="s">
        <v>4625</v>
      </c>
      <c r="K47" s="3618"/>
      <c r="L47" s="930"/>
    </row>
    <row r="48" spans="1:16" s="305" customFormat="1" ht="13.15" customHeight="1">
      <c r="A48" s="501"/>
      <c r="B48" s="305" t="s">
        <v>1997</v>
      </c>
      <c r="F48" s="3646" t="s">
        <v>4628</v>
      </c>
      <c r="G48" s="3647"/>
      <c r="H48" s="3648"/>
      <c r="I48" s="3640"/>
      <c r="J48" s="3647"/>
      <c r="K48" s="3649"/>
      <c r="L48" s="341" t="s">
        <v>624</v>
      </c>
      <c r="M48" s="3650" t="s">
        <v>1032</v>
      </c>
      <c r="N48" s="3651"/>
      <c r="O48" s="3651"/>
      <c r="P48" s="3652"/>
    </row>
    <row r="49" spans="1:19" s="305" customFormat="1" ht="13.15" customHeight="1">
      <c r="A49" s="501"/>
      <c r="B49" s="1559" t="s">
        <v>2245</v>
      </c>
      <c r="F49" s="3653">
        <v>301200000</v>
      </c>
      <c r="G49" s="3654"/>
      <c r="H49" s="1561" t="s">
        <v>1998</v>
      </c>
      <c r="I49" s="3655">
        <v>7703875686</v>
      </c>
      <c r="J49" s="3656"/>
      <c r="K49" s="3657"/>
      <c r="L49" s="310" t="s">
        <v>1813</v>
      </c>
      <c r="M49" s="3658" t="s">
        <v>4627</v>
      </c>
      <c r="N49" s="3659"/>
      <c r="O49" s="3659"/>
      <c r="P49" s="3660"/>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72</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61"/>
      <c r="Q57" s="1571"/>
    </row>
    <row r="58" spans="1:19" s="305" customFormat="1" ht="3.6" customHeight="1">
      <c r="A58" s="501"/>
      <c r="P58" s="1570"/>
    </row>
    <row r="59" spans="1:19" s="305" customFormat="1">
      <c r="A59" s="501"/>
      <c r="B59" s="501" t="s">
        <v>2001</v>
      </c>
      <c r="C59" s="307" t="s">
        <v>2312</v>
      </c>
      <c r="H59" s="3662"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62</v>
      </c>
      <c r="I62" s="679">
        <f>SUM(I63:I64)</f>
        <v>0</v>
      </c>
      <c r="J62" s="501"/>
      <c r="K62" s="314" t="s">
        <v>2791</v>
      </c>
      <c r="M62" s="1570"/>
      <c r="N62" s="1570"/>
      <c r="O62" s="1570"/>
      <c r="P62" s="897">
        <f>'Part VI-Revenues &amp; Expenses'!$O$115</f>
        <v>54912</v>
      </c>
    </row>
    <row r="63" spans="1:19" s="305" customFormat="1" ht="13.15" customHeight="1">
      <c r="A63" s="501"/>
      <c r="B63" s="324"/>
      <c r="D63" s="329" t="s">
        <v>387</v>
      </c>
      <c r="E63" s="1570"/>
      <c r="H63" s="897">
        <f>'Part VI-Revenues &amp; Expenses'!$O$57</f>
        <v>15</v>
      </c>
      <c r="I63" s="897">
        <f>'Part VI-Revenues &amp; Expenses'!$O$65</f>
        <v>0</v>
      </c>
      <c r="K63" s="314" t="s">
        <v>2792</v>
      </c>
      <c r="M63" s="1570"/>
      <c r="N63" s="1570"/>
      <c r="O63" s="1570"/>
      <c r="P63" s="1173">
        <f>'Part VI-Revenues &amp; Expenses'!$O$116</f>
        <v>8910</v>
      </c>
    </row>
    <row r="64" spans="1:19" s="305" customFormat="1" ht="13.15" customHeight="1">
      <c r="A64" s="501"/>
      <c r="D64" s="329" t="s">
        <v>1835</v>
      </c>
      <c r="E64" s="329"/>
      <c r="H64" s="898">
        <f>'Part VI-Revenues &amp; Expenses'!$O$56</f>
        <v>47</v>
      </c>
      <c r="I64" s="898">
        <f>'Part VI-Revenues &amp; Expenses'!$O$64</f>
        <v>0</v>
      </c>
      <c r="K64" s="314" t="s">
        <v>2793</v>
      </c>
      <c r="M64" s="1570"/>
      <c r="N64" s="1570"/>
      <c r="O64" s="1570"/>
      <c r="P64" s="897">
        <f>P62+P63</f>
        <v>63822</v>
      </c>
    </row>
    <row r="65" spans="1:16" s="305" customFormat="1" ht="13.15" customHeight="1">
      <c r="A65" s="501"/>
      <c r="C65" s="314" t="s">
        <v>255</v>
      </c>
      <c r="D65" s="1570"/>
      <c r="E65" s="1570"/>
      <c r="H65" s="328">
        <f>'Part VI-Revenues &amp; Expenses'!$O$59</f>
        <v>10</v>
      </c>
      <c r="J65" s="501"/>
      <c r="K65" s="314" t="s">
        <v>2794</v>
      </c>
      <c r="M65" s="1570"/>
      <c r="N65" s="1570"/>
      <c r="O65" s="1570"/>
      <c r="P65" s="898">
        <f>'Part VI-Revenues &amp; Expenses'!$O$118</f>
        <v>0</v>
      </c>
    </row>
    <row r="66" spans="1:16" s="305" customFormat="1" ht="13.15" customHeight="1">
      <c r="A66" s="501"/>
      <c r="C66" s="314" t="s">
        <v>2423</v>
      </c>
      <c r="D66" s="1570"/>
      <c r="E66" s="1570"/>
      <c r="H66" s="897">
        <f>H62+H65</f>
        <v>72</v>
      </c>
      <c r="J66" s="501"/>
      <c r="K66" s="314" t="s">
        <v>1432</v>
      </c>
      <c r="M66" s="1570"/>
      <c r="N66" s="1570"/>
      <c r="O66" s="1570"/>
      <c r="P66" s="328">
        <f>+P64+P65</f>
        <v>63822</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72</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63">
        <v>2</v>
      </c>
      <c r="K70" s="314" t="s">
        <v>4099</v>
      </c>
      <c r="O70" s="1570"/>
      <c r="P70" s="3664">
        <v>3798</v>
      </c>
    </row>
    <row r="71" spans="1:16" s="305" customFormat="1" ht="13.15" customHeight="1">
      <c r="A71" s="501"/>
      <c r="B71" s="501"/>
      <c r="D71" s="1560" t="s">
        <v>2013</v>
      </c>
      <c r="H71" s="3665">
        <v>1</v>
      </c>
      <c r="I71" s="1570"/>
      <c r="K71" s="314" t="s">
        <v>254</v>
      </c>
      <c r="O71" s="1570"/>
      <c r="P71" s="328">
        <f>+P66+P70</f>
        <v>67620</v>
      </c>
    </row>
    <row r="72" spans="1:16" s="305" customFormat="1" ht="13.15" customHeight="1">
      <c r="A72" s="501"/>
      <c r="B72" s="501"/>
      <c r="D72" s="1560" t="s">
        <v>2014</v>
      </c>
      <c r="H72" s="328">
        <f>+H70+H71</f>
        <v>3</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64">
        <v>144</v>
      </c>
      <c r="K74" s="1631" t="s">
        <v>3882</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6" t="s">
        <v>2934</v>
      </c>
      <c r="I78" s="3667"/>
      <c r="K78" s="1620" t="s">
        <v>1785</v>
      </c>
      <c r="L78" s="1620"/>
      <c r="M78" s="3521"/>
      <c r="N78" s="3550"/>
      <c r="O78" s="3550"/>
      <c r="P78" s="3551"/>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3903</v>
      </c>
      <c r="I80" s="1630"/>
      <c r="K80" s="331" t="s">
        <v>2932</v>
      </c>
      <c r="L80" s="3663"/>
      <c r="M80" s="331" t="s">
        <v>2933</v>
      </c>
      <c r="N80" s="3663"/>
      <c r="P80" s="318" t="s">
        <v>3905</v>
      </c>
    </row>
    <row r="81" spans="1:16" s="305" customFormat="1" ht="13.15" customHeight="1">
      <c r="A81" s="501"/>
      <c r="B81" s="501"/>
      <c r="D81" s="1559"/>
      <c r="E81" s="1563"/>
      <c r="H81" s="1630"/>
      <c r="I81" s="1630"/>
      <c r="K81" s="318" t="s">
        <v>2934</v>
      </c>
      <c r="L81" s="3665">
        <v>72</v>
      </c>
      <c r="M81" s="318" t="s">
        <v>3904</v>
      </c>
      <c r="N81" s="3665"/>
      <c r="P81" s="3668"/>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5.5555555555555552E-2</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0.5</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2.7777777777777776E-2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9" t="s">
        <v>878</v>
      </c>
      <c r="I90" s="3670"/>
      <c r="J90" s="3671"/>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62"/>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62" t="s">
        <v>3011</v>
      </c>
      <c r="K96" s="329" t="s">
        <v>3927</v>
      </c>
      <c r="L96" s="3662"/>
      <c r="O96" s="312" t="s">
        <v>3921</v>
      </c>
      <c r="P96" s="3662"/>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62"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21" t="s">
        <v>2616</v>
      </c>
      <c r="I100" s="3551"/>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93"/>
      <c r="F104" s="3594"/>
      <c r="G104" s="3594"/>
      <c r="H104" s="3594"/>
      <c r="I104" s="3594"/>
      <c r="J104" s="3594"/>
      <c r="K104" s="3594"/>
      <c r="L104" s="3595"/>
      <c r="M104" s="1629" t="s">
        <v>558</v>
      </c>
      <c r="N104" s="1629"/>
      <c r="O104" s="3672"/>
      <c r="P104" s="3673"/>
    </row>
    <row r="105" spans="1:16" s="305" customFormat="1" ht="13.15" customHeight="1">
      <c r="C105" s="310" t="s">
        <v>1031</v>
      </c>
      <c r="D105" s="318"/>
      <c r="E105" s="3596"/>
      <c r="F105" s="3597"/>
      <c r="G105" s="3597"/>
      <c r="H105" s="3598"/>
      <c r="I105" s="3597"/>
      <c r="J105" s="3598"/>
      <c r="K105" s="3597"/>
      <c r="L105" s="3600"/>
      <c r="M105" s="1629" t="s">
        <v>816</v>
      </c>
      <c r="N105" s="1629"/>
      <c r="O105" s="3674"/>
      <c r="P105" s="3675"/>
    </row>
    <row r="106" spans="1:16" s="305" customFormat="1" ht="13.15" customHeight="1">
      <c r="C106" s="310" t="s">
        <v>624</v>
      </c>
      <c r="E106" s="3616"/>
      <c r="F106" s="3676"/>
      <c r="G106" s="3677"/>
      <c r="H106" s="1561" t="s">
        <v>1812</v>
      </c>
      <c r="I106" s="3678"/>
      <c r="J106" s="335" t="s">
        <v>2245</v>
      </c>
      <c r="K106" s="3679"/>
      <c r="L106" s="3680"/>
      <c r="M106" s="280" t="s">
        <v>3689</v>
      </c>
      <c r="N106" s="280"/>
      <c r="O106" s="3681"/>
      <c r="P106" s="3682"/>
    </row>
    <row r="107" spans="1:16" s="305" customFormat="1" ht="13.15" customHeight="1">
      <c r="C107" s="305" t="s">
        <v>2210</v>
      </c>
      <c r="E107" s="3616"/>
      <c r="F107" s="3676"/>
      <c r="G107" s="3677"/>
      <c r="H107" s="1039" t="s">
        <v>1996</v>
      </c>
      <c r="I107" s="3683"/>
      <c r="J107" s="3684"/>
      <c r="K107" s="3540"/>
      <c r="L107" s="1581" t="s">
        <v>2000</v>
      </c>
      <c r="M107" s="3593"/>
      <c r="N107" s="3685"/>
      <c r="O107" s="3686"/>
      <c r="P107" s="3687"/>
    </row>
    <row r="108" spans="1:16" s="305" customFormat="1" ht="13.15" customHeight="1">
      <c r="C108" s="310" t="s">
        <v>2209</v>
      </c>
      <c r="E108" s="3611"/>
      <c r="F108" s="3688"/>
      <c r="G108" s="3612"/>
      <c r="H108" s="1039" t="s">
        <v>1815</v>
      </c>
      <c r="I108" s="3611"/>
      <c r="J108" s="3689"/>
      <c r="K108" s="1561" t="s">
        <v>2722</v>
      </c>
      <c r="L108" s="3533"/>
      <c r="M108" s="3690"/>
      <c r="N108" s="3690"/>
      <c r="O108" s="3690"/>
      <c r="P108" s="3691"/>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92">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93">
        <v>1403885</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94" t="s">
        <v>4569</v>
      </c>
      <c r="D120" s="3695"/>
      <c r="E120" s="3695"/>
      <c r="F120" s="3696" t="s">
        <v>4757</v>
      </c>
      <c r="G120" s="3451"/>
      <c r="H120" s="3697"/>
      <c r="I120" s="3698" t="s">
        <v>4629</v>
      </c>
      <c r="J120" s="3694">
        <v>7</v>
      </c>
      <c r="K120" s="3695"/>
      <c r="L120" s="3695"/>
      <c r="M120" s="3696"/>
      <c r="N120" s="3451"/>
      <c r="O120" s="3697"/>
      <c r="P120" s="3698"/>
    </row>
    <row r="121" spans="1:16" s="305" customFormat="1" ht="13.15" customHeight="1">
      <c r="A121" s="501"/>
      <c r="B121" s="501"/>
      <c r="C121" s="3699" t="s">
        <v>4617</v>
      </c>
      <c r="D121" s="3700"/>
      <c r="E121" s="3700"/>
      <c r="F121" s="3696" t="s">
        <v>4757</v>
      </c>
      <c r="G121" s="3451"/>
      <c r="H121" s="3697"/>
      <c r="I121" s="3701" t="s">
        <v>4629</v>
      </c>
      <c r="J121" s="3699">
        <v>8</v>
      </c>
      <c r="K121" s="3700"/>
      <c r="L121" s="3700"/>
      <c r="M121" s="3702"/>
      <c r="N121" s="3703"/>
      <c r="O121" s="3704"/>
      <c r="P121" s="3701"/>
    </row>
    <row r="122" spans="1:16" s="305" customFormat="1" ht="13.15" customHeight="1">
      <c r="A122" s="501"/>
      <c r="B122" s="501"/>
      <c r="C122" s="3699">
        <v>3</v>
      </c>
      <c r="D122" s="3700"/>
      <c r="E122" s="3700"/>
      <c r="F122" s="3702"/>
      <c r="G122" s="3703"/>
      <c r="H122" s="3704"/>
      <c r="I122" s="3701"/>
      <c r="J122" s="3699">
        <v>9</v>
      </c>
      <c r="K122" s="3700"/>
      <c r="L122" s="3700"/>
      <c r="M122" s="3702"/>
      <c r="N122" s="3703"/>
      <c r="O122" s="3704"/>
      <c r="P122" s="3701"/>
    </row>
    <row r="123" spans="1:16" s="305" customFormat="1" ht="13.15" customHeight="1">
      <c r="A123" s="501"/>
      <c r="B123" s="501"/>
      <c r="C123" s="3699">
        <v>4</v>
      </c>
      <c r="D123" s="3700"/>
      <c r="E123" s="3700"/>
      <c r="F123" s="3702"/>
      <c r="G123" s="3703"/>
      <c r="H123" s="3704"/>
      <c r="I123" s="3701"/>
      <c r="J123" s="3699">
        <v>10</v>
      </c>
      <c r="K123" s="3700"/>
      <c r="L123" s="3700"/>
      <c r="M123" s="3702"/>
      <c r="N123" s="3703"/>
      <c r="O123" s="3704"/>
      <c r="P123" s="3701"/>
    </row>
    <row r="124" spans="1:16" s="305" customFormat="1" ht="13.15" customHeight="1">
      <c r="A124" s="501"/>
      <c r="B124" s="501"/>
      <c r="C124" s="3699">
        <v>5</v>
      </c>
      <c r="D124" s="3700"/>
      <c r="E124" s="3700"/>
      <c r="F124" s="3702"/>
      <c r="G124" s="3703"/>
      <c r="H124" s="3704"/>
      <c r="I124" s="3701"/>
      <c r="J124" s="3699">
        <v>11</v>
      </c>
      <c r="K124" s="3700"/>
      <c r="L124" s="3700"/>
      <c r="M124" s="3702"/>
      <c r="N124" s="3703"/>
      <c r="O124" s="3704"/>
      <c r="P124" s="3701"/>
    </row>
    <row r="125" spans="1:16" s="305" customFormat="1" ht="13.15" customHeight="1">
      <c r="A125" s="501"/>
      <c r="B125" s="501"/>
      <c r="C125" s="3705">
        <v>6</v>
      </c>
      <c r="D125" s="3706"/>
      <c r="E125" s="3706"/>
      <c r="F125" s="3707"/>
      <c r="G125" s="3708"/>
      <c r="H125" s="3709"/>
      <c r="I125" s="3710"/>
      <c r="J125" s="3705">
        <v>12</v>
      </c>
      <c r="K125" s="3706"/>
      <c r="L125" s="3706"/>
      <c r="M125" s="3707"/>
      <c r="N125" s="3708"/>
      <c r="O125" s="3709"/>
      <c r="P125" s="3710"/>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94">
        <v>1</v>
      </c>
      <c r="D130" s="3695"/>
      <c r="E130" s="3695"/>
      <c r="F130" s="3696"/>
      <c r="G130" s="3451"/>
      <c r="H130" s="3451"/>
      <c r="I130" s="3452"/>
      <c r="J130" s="3694">
        <v>7</v>
      </c>
      <c r="K130" s="3695"/>
      <c r="L130" s="3695"/>
      <c r="M130" s="3696"/>
      <c r="N130" s="3451"/>
      <c r="O130" s="3451"/>
      <c r="P130" s="3452"/>
    </row>
    <row r="131" spans="1:16" s="305" customFormat="1" ht="13.15" customHeight="1">
      <c r="A131" s="501"/>
      <c r="B131" s="501"/>
      <c r="C131" s="3699">
        <v>2</v>
      </c>
      <c r="D131" s="3700"/>
      <c r="E131" s="3700"/>
      <c r="F131" s="3702"/>
      <c r="G131" s="3703"/>
      <c r="H131" s="3703"/>
      <c r="I131" s="3711"/>
      <c r="J131" s="3699">
        <v>8</v>
      </c>
      <c r="K131" s="3700"/>
      <c r="L131" s="3700"/>
      <c r="M131" s="3702"/>
      <c r="N131" s="3703"/>
      <c r="O131" s="3703"/>
      <c r="P131" s="3711"/>
    </row>
    <row r="132" spans="1:16" s="305" customFormat="1" ht="13.15" customHeight="1">
      <c r="A132" s="501"/>
      <c r="B132" s="501"/>
      <c r="C132" s="3699">
        <v>3</v>
      </c>
      <c r="D132" s="3700"/>
      <c r="E132" s="3700"/>
      <c r="F132" s="3702"/>
      <c r="G132" s="3703"/>
      <c r="H132" s="3703"/>
      <c r="I132" s="3711"/>
      <c r="J132" s="3699">
        <v>9</v>
      </c>
      <c r="K132" s="3700"/>
      <c r="L132" s="3700"/>
      <c r="M132" s="3702"/>
      <c r="N132" s="3703"/>
      <c r="O132" s="3703"/>
      <c r="P132" s="3711"/>
    </row>
    <row r="133" spans="1:16" s="305" customFormat="1" ht="13.15" customHeight="1">
      <c r="A133" s="501"/>
      <c r="B133" s="501"/>
      <c r="C133" s="3699">
        <v>4</v>
      </c>
      <c r="D133" s="3700"/>
      <c r="E133" s="3700"/>
      <c r="F133" s="3702"/>
      <c r="G133" s="3703"/>
      <c r="H133" s="3703"/>
      <c r="I133" s="3711"/>
      <c r="J133" s="3699">
        <v>10</v>
      </c>
      <c r="K133" s="3700"/>
      <c r="L133" s="3700"/>
      <c r="M133" s="3702"/>
      <c r="N133" s="3703"/>
      <c r="O133" s="3703"/>
      <c r="P133" s="3711"/>
    </row>
    <row r="134" spans="1:16" s="305" customFormat="1" ht="13.15" customHeight="1">
      <c r="A134" s="501"/>
      <c r="B134" s="501"/>
      <c r="C134" s="3699">
        <v>5</v>
      </c>
      <c r="D134" s="3700"/>
      <c r="E134" s="3700"/>
      <c r="F134" s="3702"/>
      <c r="G134" s="3703"/>
      <c r="H134" s="3703"/>
      <c r="I134" s="3711"/>
      <c r="J134" s="3699">
        <v>11</v>
      </c>
      <c r="K134" s="3700"/>
      <c r="L134" s="3700"/>
      <c r="M134" s="3702"/>
      <c r="N134" s="3703"/>
      <c r="O134" s="3703"/>
      <c r="P134" s="3711"/>
    </row>
    <row r="135" spans="1:16" s="305" customFormat="1" ht="13.15" customHeight="1">
      <c r="A135" s="501"/>
      <c r="B135" s="501"/>
      <c r="C135" s="3705">
        <v>6</v>
      </c>
      <c r="D135" s="3706"/>
      <c r="E135" s="3706"/>
      <c r="F135" s="3707"/>
      <c r="G135" s="3708"/>
      <c r="H135" s="3708"/>
      <c r="I135" s="3712"/>
      <c r="J135" s="3705">
        <v>12</v>
      </c>
      <c r="K135" s="3706"/>
      <c r="L135" s="3706"/>
      <c r="M135" s="3707"/>
      <c r="N135" s="3708"/>
      <c r="O135" s="3708"/>
      <c r="P135" s="3712"/>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62"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31" t="s">
        <v>3014</v>
      </c>
      <c r="M140" s="1571"/>
      <c r="N140" s="1570"/>
      <c r="O140" s="1570"/>
      <c r="P140" s="315"/>
    </row>
    <row r="141" spans="1:16" s="305" customFormat="1" ht="13.15" customHeight="1">
      <c r="A141" s="501"/>
      <c r="B141" s="501"/>
      <c r="C141" s="1560" t="s">
        <v>2436</v>
      </c>
      <c r="D141" s="1560"/>
      <c r="E141" s="1560"/>
      <c r="F141" s="1571"/>
      <c r="I141" s="3713"/>
      <c r="N141" s="1570"/>
      <c r="O141" s="1570"/>
      <c r="P141" s="315"/>
    </row>
    <row r="142" spans="1:16" s="305" customFormat="1" ht="13.15" customHeight="1">
      <c r="A142" s="501"/>
      <c r="B142" s="501"/>
      <c r="C142" s="338" t="s">
        <v>1725</v>
      </c>
      <c r="D142" s="310"/>
      <c r="I142" s="3434"/>
      <c r="P142" s="315"/>
    </row>
    <row r="143" spans="1:16" s="305" customFormat="1" ht="13.15" customHeight="1">
      <c r="A143" s="501"/>
      <c r="B143" s="501"/>
      <c r="C143" s="1560" t="s">
        <v>2437</v>
      </c>
      <c r="D143" s="1560"/>
      <c r="E143" s="1560"/>
      <c r="F143" s="1571"/>
      <c r="I143" s="3713"/>
      <c r="K143" s="280" t="s">
        <v>2261</v>
      </c>
      <c r="O143" s="3593" t="s">
        <v>489</v>
      </c>
      <c r="P143" s="3595"/>
    </row>
    <row r="144" spans="1:16" s="305" customFormat="1" ht="13.15" customHeight="1">
      <c r="A144" s="501"/>
      <c r="B144" s="501"/>
      <c r="C144" s="1560" t="s">
        <v>2435</v>
      </c>
      <c r="F144" s="1571"/>
      <c r="I144" s="3714"/>
      <c r="K144" s="280" t="s">
        <v>2262</v>
      </c>
      <c r="O144" s="3619" t="s">
        <v>489</v>
      </c>
      <c r="P144" s="3599"/>
    </row>
    <row r="145" spans="1:16" s="305" customFormat="1" ht="13.15" customHeight="1">
      <c r="A145" s="501"/>
      <c r="B145" s="501"/>
      <c r="C145" s="1560" t="s">
        <v>2182</v>
      </c>
      <c r="D145" s="1560"/>
      <c r="E145" s="1560"/>
      <c r="F145" s="1571"/>
      <c r="I145" s="3715"/>
      <c r="J145" s="3716"/>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92"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92" t="s">
        <v>3014</v>
      </c>
      <c r="K150" s="1560" t="s">
        <v>1547</v>
      </c>
      <c r="L150" s="1560"/>
      <c r="M150" s="1571"/>
      <c r="N150" s="1571"/>
      <c r="O150" s="3692"/>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7" t="s">
        <v>3014</v>
      </c>
      <c r="N155" s="1570"/>
      <c r="O155" s="1570"/>
      <c r="P155" s="315"/>
    </row>
    <row r="156" spans="1:16" s="305" customFormat="1" ht="12.6" customHeight="1">
      <c r="A156" s="501"/>
      <c r="B156" s="501"/>
      <c r="C156" s="305" t="s">
        <v>621</v>
      </c>
      <c r="K156" s="3718"/>
      <c r="L156" s="310" t="s">
        <v>1808</v>
      </c>
      <c r="P156" s="339">
        <f>IF('Part VI-Revenues &amp; Expenses'!O$60=0,0,K156/'Part VI-Revenues &amp; Expenses'!$O$60)</f>
        <v>0</v>
      </c>
    </row>
    <row r="157" spans="1:16" s="305" customFormat="1" ht="12.6" customHeight="1">
      <c r="A157" s="501"/>
      <c r="B157" s="501"/>
      <c r="C157" s="305" t="s">
        <v>3753</v>
      </c>
      <c r="H157" s="3664"/>
      <c r="I157" s="179"/>
      <c r="J157" s="901" t="s">
        <v>3752</v>
      </c>
      <c r="K157" s="3718"/>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3"/>
      <c r="F158" s="3594"/>
      <c r="G158" s="3594"/>
      <c r="H158" s="3594"/>
      <c r="I158" s="3594"/>
      <c r="J158" s="3594"/>
      <c r="K158" s="3625"/>
      <c r="L158" s="340" t="s">
        <v>1810</v>
      </c>
      <c r="M158" s="3719"/>
      <c r="N158" s="3720"/>
      <c r="O158" s="3720"/>
      <c r="P158" s="3721"/>
    </row>
    <row r="159" spans="1:16" s="305" customFormat="1" ht="12.6" customHeight="1">
      <c r="A159" s="501"/>
      <c r="B159" s="501"/>
      <c r="C159" s="310" t="s">
        <v>1811</v>
      </c>
      <c r="D159" s="318"/>
      <c r="E159" s="3596"/>
      <c r="F159" s="3597"/>
      <c r="G159" s="3597"/>
      <c r="H159" s="3597"/>
      <c r="I159" s="3598"/>
      <c r="J159" s="3597"/>
      <c r="K159" s="3600"/>
      <c r="L159" s="340" t="s">
        <v>1815</v>
      </c>
      <c r="M159" s="3722"/>
      <c r="N159" s="3723"/>
      <c r="O159" s="3724"/>
    </row>
    <row r="160" spans="1:16" s="305" customFormat="1" ht="12.6" customHeight="1">
      <c r="A160" s="501"/>
      <c r="B160" s="501"/>
      <c r="C160" s="310" t="s">
        <v>624</v>
      </c>
      <c r="E160" s="3619"/>
      <c r="F160" s="3598"/>
      <c r="G160" s="3598"/>
      <c r="H160" s="3599"/>
      <c r="I160" s="335" t="s">
        <v>2245</v>
      </c>
      <c r="J160" s="3602"/>
      <c r="K160" s="3604"/>
      <c r="L160" s="341" t="s">
        <v>1995</v>
      </c>
      <c r="M160" s="3722"/>
      <c r="N160" s="3723"/>
      <c r="O160" s="3724"/>
    </row>
    <row r="161" spans="1:16" s="305" customFormat="1" ht="12.6" customHeight="1">
      <c r="A161" s="501"/>
      <c r="B161" s="501"/>
      <c r="C161" s="310" t="s">
        <v>1814</v>
      </c>
      <c r="E161" s="3611"/>
      <c r="F161" s="3688"/>
      <c r="G161" s="3612"/>
      <c r="H161" s="1557"/>
      <c r="I161" s="1562" t="s">
        <v>1813</v>
      </c>
      <c r="J161" s="3725"/>
      <c r="K161" s="3690"/>
      <c r="L161" s="3534"/>
      <c r="M161" s="3690"/>
      <c r="N161" s="3690"/>
      <c r="O161" s="3690"/>
      <c r="P161" s="3535"/>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92"/>
      <c r="J163" s="1621" t="s">
        <v>769</v>
      </c>
      <c r="K163" s="1622"/>
      <c r="L163" s="3692"/>
      <c r="M163" s="1623" t="s">
        <v>2342</v>
      </c>
      <c r="N163" s="1624"/>
      <c r="O163" s="1625"/>
      <c r="P163" s="3726"/>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92" t="s">
        <v>3011</v>
      </c>
      <c r="J165" s="1621" t="s">
        <v>769</v>
      </c>
      <c r="K165" s="1622"/>
      <c r="L165" s="3692">
        <v>2035</v>
      </c>
      <c r="M165" s="1623" t="s">
        <v>2342</v>
      </c>
      <c r="N165" s="1624"/>
      <c r="O165" s="1625"/>
      <c r="P165" s="3726">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92"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92" t="s">
        <v>3011</v>
      </c>
      <c r="J169" s="345" t="s">
        <v>2771</v>
      </c>
      <c r="L169" s="1627" t="s">
        <v>3728</v>
      </c>
      <c r="M169" s="1627"/>
      <c r="N169" s="1563"/>
      <c r="O169" s="1563"/>
      <c r="P169" s="3663">
        <v>2</v>
      </c>
    </row>
    <row r="170" spans="1:16" s="305" customFormat="1" ht="12.6" customHeight="1">
      <c r="B170" s="501"/>
      <c r="L170" s="1620" t="s">
        <v>805</v>
      </c>
      <c r="M170" s="1620"/>
      <c r="N170" s="1563"/>
      <c r="O170" s="1563"/>
      <c r="P170" s="3665">
        <v>1</v>
      </c>
    </row>
    <row r="171" spans="1:16" s="305" customFormat="1" ht="12.6" customHeight="1">
      <c r="A171" s="501"/>
      <c r="B171" s="501"/>
      <c r="L171" s="1620" t="s">
        <v>1804</v>
      </c>
      <c r="M171" s="1620"/>
      <c r="N171" s="1563"/>
      <c r="O171" s="1563"/>
      <c r="P171" s="344">
        <f>IF(P169="","",P170/P169)</f>
        <v>0.5</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7" t="s">
        <v>3014</v>
      </c>
      <c r="L173" s="1570" t="s">
        <v>1622</v>
      </c>
      <c r="M173" s="1570"/>
      <c r="N173" s="1570"/>
      <c r="P173" s="3717" t="s">
        <v>3011</v>
      </c>
    </row>
    <row r="174" spans="1:16" s="305" customFormat="1" ht="12.6" customHeight="1">
      <c r="A174" s="501"/>
      <c r="B174" s="501"/>
      <c r="C174" s="1570" t="s">
        <v>2229</v>
      </c>
      <c r="I174" s="3714" t="s">
        <v>3014</v>
      </c>
      <c r="L174" s="1570" t="s">
        <v>2864</v>
      </c>
      <c r="M174" s="1570"/>
      <c r="N174" s="1570"/>
      <c r="P174" s="3714" t="s">
        <v>3014</v>
      </c>
    </row>
    <row r="175" spans="1:16" s="305" customFormat="1" ht="12.6" customHeight="1">
      <c r="A175" s="501"/>
      <c r="C175" s="1570" t="s">
        <v>2740</v>
      </c>
      <c r="I175" s="3714" t="s">
        <v>3014</v>
      </c>
      <c r="L175" s="1570" t="s">
        <v>2707</v>
      </c>
      <c r="N175" s="3727"/>
      <c r="O175" s="3728"/>
      <c r="P175" s="3714" t="s">
        <v>3014</v>
      </c>
    </row>
    <row r="176" spans="1:16" s="305" customFormat="1" ht="12.6" customHeight="1">
      <c r="A176" s="501"/>
      <c r="B176" s="501"/>
      <c r="C176" s="1570" t="s">
        <v>1297</v>
      </c>
      <c r="D176" s="346"/>
      <c r="I176" s="3714" t="s">
        <v>3014</v>
      </c>
      <c r="K176" s="316"/>
      <c r="L176" s="1570" t="s">
        <v>3506</v>
      </c>
      <c r="M176" s="1570"/>
      <c r="N176" s="1570"/>
      <c r="P176" s="3714" t="s">
        <v>3014</v>
      </c>
    </row>
    <row r="177" spans="1:21" s="305" customFormat="1" ht="12.6" customHeight="1">
      <c r="A177" s="501"/>
      <c r="B177" s="307"/>
      <c r="C177" s="1570" t="s">
        <v>1820</v>
      </c>
      <c r="I177" s="3714" t="s">
        <v>3014</v>
      </c>
      <c r="J177" s="345" t="s">
        <v>2772</v>
      </c>
      <c r="O177" s="3729"/>
      <c r="P177" s="3730"/>
    </row>
    <row r="178" spans="1:21" s="305" customFormat="1" ht="12.6" customHeight="1">
      <c r="A178" s="501"/>
      <c r="B178" s="501"/>
      <c r="C178" s="1570" t="s">
        <v>2922</v>
      </c>
      <c r="I178" s="3731" t="s">
        <v>3014</v>
      </c>
      <c r="J178" s="345" t="s">
        <v>2772</v>
      </c>
      <c r="O178" s="3732"/>
      <c r="P178" s="3733"/>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72"/>
      <c r="I181" s="3673"/>
      <c r="N181" s="1570"/>
      <c r="O181" s="1570"/>
      <c r="P181" s="315"/>
    </row>
    <row r="182" spans="1:21" s="305" customFormat="1" ht="12.6" customHeight="1">
      <c r="A182" s="501"/>
      <c r="B182" s="501"/>
      <c r="C182" s="310" t="s">
        <v>278</v>
      </c>
      <c r="D182" s="1560"/>
      <c r="E182" s="1560"/>
      <c r="F182" s="1571"/>
      <c r="G182" s="1571"/>
      <c r="H182" s="3734"/>
      <c r="I182" s="3735"/>
      <c r="N182" s="1570"/>
      <c r="O182" s="1570"/>
      <c r="P182" s="315"/>
    </row>
    <row r="183" spans="1:21" s="305" customFormat="1" ht="12.6" customHeight="1">
      <c r="A183" s="501"/>
      <c r="B183" s="501"/>
      <c r="C183" s="310" t="s">
        <v>2311</v>
      </c>
      <c r="D183" s="1560"/>
      <c r="E183" s="1560"/>
      <c r="F183" s="1571"/>
      <c r="G183" s="1571"/>
      <c r="H183" s="3736">
        <v>43982</v>
      </c>
      <c r="I183" s="3737"/>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8" t="s">
        <v>4632</v>
      </c>
      <c r="B186" s="3739"/>
      <c r="C186" s="3739"/>
      <c r="D186" s="3739"/>
      <c r="E186" s="3739"/>
      <c r="F186" s="3739"/>
      <c r="G186" s="3739"/>
      <c r="H186" s="3739"/>
      <c r="I186" s="3739"/>
      <c r="J186" s="3739"/>
      <c r="K186" s="3739"/>
      <c r="L186" s="3740"/>
      <c r="M186" s="3741"/>
      <c r="N186" s="3742"/>
      <c r="O186" s="3742"/>
      <c r="P186" s="3743"/>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4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4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4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4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4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4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4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4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4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3899</v>
      </c>
      <c r="K216" s="1181"/>
      <c r="L216" s="1181"/>
      <c r="M216" s="1181"/>
      <c r="N216" s="1181"/>
      <c r="O216" s="1181"/>
      <c r="P216" s="1183"/>
      <c r="Q216" s="374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6"/>
      <c r="Q240" s="3744"/>
      <c r="R240" s="1183"/>
      <c r="S240" s="374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4"/>
      <c r="R241" s="1183"/>
      <c r="S241" s="374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4"/>
      <c r="R242" s="1183"/>
      <c r="S242" s="374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4"/>
      <c r="R243" s="1183"/>
      <c r="S243" s="374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6"/>
      <c r="Q248" s="374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6"/>
      <c r="Q256" s="374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6"/>
      <c r="Q298" s="374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6"/>
      <c r="Q327" s="374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5"/>
      <c r="Q333" s="374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6"/>
      <c r="Q351" s="374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4"/>
      <c r="R353" s="1183"/>
      <c r="S353" s="374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4"/>
      <c r="R354" s="1183"/>
      <c r="S354" s="374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4"/>
      <c r="R355" s="1183"/>
      <c r="S355" s="374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6"/>
      <c r="Q357" s="1181"/>
      <c r="R357" s="1183"/>
      <c r="S357" s="374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7" t="s">
        <v>95</v>
      </c>
      <c r="S613" s="3747" t="s">
        <v>97</v>
      </c>
      <c r="T613" s="374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7" t="s">
        <v>2578</v>
      </c>
      <c r="S614" s="3747" t="s">
        <v>634</v>
      </c>
      <c r="T614" s="3750"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9"/>
      <c r="R615" s="3747" t="s">
        <v>2579</v>
      </c>
      <c r="S615" s="3747" t="s">
        <v>321</v>
      </c>
      <c r="T615" s="3750"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7" t="s">
        <v>2580</v>
      </c>
      <c r="S616" s="3747" t="s">
        <v>2499</v>
      </c>
      <c r="T616" s="3750"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7" t="s">
        <v>2581</v>
      </c>
      <c r="S617" s="3747"/>
      <c r="T617" s="3750"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7" t="s">
        <v>2582</v>
      </c>
      <c r="S618" s="3747" t="s">
        <v>2023</v>
      </c>
      <c r="T618" s="3750"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7" t="s">
        <v>2583</v>
      </c>
      <c r="S619" s="3747" t="s">
        <v>2499</v>
      </c>
      <c r="T619" s="3750"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7" t="s">
        <v>2584</v>
      </c>
      <c r="S620" s="3747" t="s">
        <v>1339</v>
      </c>
      <c r="T620" s="3750"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7" t="s">
        <v>2585</v>
      </c>
      <c r="S621" s="3747" t="s">
        <v>2025</v>
      </c>
      <c r="T621" s="3750"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7" t="s">
        <v>2586</v>
      </c>
      <c r="S622" s="3747" t="s">
        <v>672</v>
      </c>
      <c r="T622" s="3750"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7" t="s">
        <v>2587</v>
      </c>
      <c r="S623" s="3747" t="s">
        <v>634</v>
      </c>
      <c r="T623" s="3750"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7" t="s">
        <v>2588</v>
      </c>
      <c r="S624" s="3747" t="s">
        <v>2188</v>
      </c>
      <c r="T624" s="3750"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7" t="s">
        <v>2589</v>
      </c>
      <c r="S625" s="3747" t="s">
        <v>2548</v>
      </c>
      <c r="T625" s="3750"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7" t="s">
        <v>2260</v>
      </c>
      <c r="S626" s="3747" t="s">
        <v>2545</v>
      </c>
      <c r="T626" s="3750"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7" t="s">
        <v>2590</v>
      </c>
      <c r="S627" s="3747" t="s">
        <v>2188</v>
      </c>
      <c r="T627" s="3750"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7" t="s">
        <v>2591</v>
      </c>
      <c r="S628" s="3747" t="s">
        <v>2502</v>
      </c>
      <c r="T628" s="3750"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8"/>
      <c r="R629" s="3747" t="s">
        <v>2592</v>
      </c>
      <c r="S629" s="3747" t="s">
        <v>2023</v>
      </c>
      <c r="T629" s="3750"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7" t="s">
        <v>1055</v>
      </c>
      <c r="S630" s="3747" t="s">
        <v>1468</v>
      </c>
      <c r="T630" s="3750"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9"/>
      <c r="R631" s="3747" t="s">
        <v>913</v>
      </c>
      <c r="S631" s="3747" t="s">
        <v>1113</v>
      </c>
      <c r="T631" s="3750"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7" t="s">
        <v>1056</v>
      </c>
      <c r="S632" s="3747" t="s">
        <v>634</v>
      </c>
      <c r="T632" s="3750"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7" t="s">
        <v>1057</v>
      </c>
      <c r="S633" s="3747" t="s">
        <v>1926</v>
      </c>
      <c r="T633" s="3750"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9"/>
      <c r="R634" s="3747" t="s">
        <v>1058</v>
      </c>
      <c r="S634" s="3747" t="s">
        <v>2021</v>
      </c>
      <c r="T634" s="3750"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7" t="s">
        <v>1059</v>
      </c>
      <c r="S635" s="3747" t="s">
        <v>1106</v>
      </c>
      <c r="T635" s="3750"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51"/>
      <c r="R636" s="3747" t="s">
        <v>1060</v>
      </c>
      <c r="S636" s="3747" t="s">
        <v>1532</v>
      </c>
      <c r="T636" s="3750"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7" t="s">
        <v>1061</v>
      </c>
      <c r="S637" s="3747" t="s">
        <v>2499</v>
      </c>
      <c r="T637" s="3750"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9"/>
      <c r="R638" s="3747" t="s">
        <v>1062</v>
      </c>
      <c r="S638" s="3747" t="s">
        <v>160</v>
      </c>
      <c r="T638" s="3750"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9"/>
      <c r="R639" s="3747" t="s">
        <v>1063</v>
      </c>
      <c r="S639" s="3747" t="s">
        <v>1346</v>
      </c>
      <c r="T639" s="3750"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7" t="s">
        <v>1064</v>
      </c>
      <c r="S640" s="3747" t="s">
        <v>1532</v>
      </c>
      <c r="T640" s="3750"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7" t="s">
        <v>1065</v>
      </c>
      <c r="S641" s="3747" t="s">
        <v>1120</v>
      </c>
      <c r="T641" s="3750"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7" t="s">
        <v>1066</v>
      </c>
      <c r="S642" s="3747" t="s">
        <v>2021</v>
      </c>
      <c r="T642" s="3750"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50"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7" t="s">
        <v>1067</v>
      </c>
      <c r="S644" s="3747" t="s">
        <v>2502</v>
      </c>
      <c r="T644" s="3750"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7" t="s">
        <v>1619</v>
      </c>
      <c r="S645" s="3747" t="s">
        <v>2545</v>
      </c>
      <c r="T645" s="3750"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7" t="s">
        <v>1068</v>
      </c>
      <c r="S646" s="3747"/>
      <c r="T646" s="3750"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7" t="s">
        <v>185</v>
      </c>
      <c r="S647" s="3747" t="s">
        <v>160</v>
      </c>
      <c r="T647" s="3750"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7" t="s">
        <v>1069</v>
      </c>
      <c r="S648" s="3747" t="s">
        <v>176</v>
      </c>
      <c r="T648" s="3750"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7" t="s">
        <v>2301</v>
      </c>
      <c r="S649" s="3747" t="s">
        <v>1218</v>
      </c>
      <c r="T649" s="3750"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7" t="s">
        <v>1070</v>
      </c>
      <c r="S650" s="3747" t="s">
        <v>634</v>
      </c>
      <c r="T650" s="3750"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7" t="s">
        <v>1071</v>
      </c>
      <c r="S651" s="3747" t="s">
        <v>634</v>
      </c>
      <c r="T651" s="3750"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7" t="s">
        <v>1072</v>
      </c>
      <c r="S652" s="3747" t="s">
        <v>634</v>
      </c>
      <c r="T652" s="3750"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7" t="s">
        <v>1073</v>
      </c>
      <c r="S653" s="3747" t="s">
        <v>634</v>
      </c>
      <c r="T653" s="3750"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7" t="s">
        <v>1074</v>
      </c>
      <c r="S654" s="3747" t="s">
        <v>1681</v>
      </c>
      <c r="T654" s="3750"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7" t="s">
        <v>1075</v>
      </c>
      <c r="S655" s="3747" t="s">
        <v>964</v>
      </c>
      <c r="T655" s="3750"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7" t="s">
        <v>1076</v>
      </c>
      <c r="S656" s="3747" t="s">
        <v>123</v>
      </c>
      <c r="T656" s="3750"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9"/>
      <c r="R657" s="3747" t="s">
        <v>1077</v>
      </c>
      <c r="S657" s="3747" t="s">
        <v>634</v>
      </c>
      <c r="T657" s="3750"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7" t="s">
        <v>1078</v>
      </c>
      <c r="S658" s="3747" t="s">
        <v>318</v>
      </c>
      <c r="T658" s="3750"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7" t="s">
        <v>1079</v>
      </c>
      <c r="S659" s="3747" t="s">
        <v>322</v>
      </c>
      <c r="T659" s="3750"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7" t="s">
        <v>840</v>
      </c>
      <c r="S660" s="3747" t="s">
        <v>1325</v>
      </c>
      <c r="T660" s="3750"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7" t="s">
        <v>1080</v>
      </c>
      <c r="S661" s="3747" t="s">
        <v>672</v>
      </c>
      <c r="T661" s="3750"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7" t="s">
        <v>1081</v>
      </c>
      <c r="S662" s="3747" t="s">
        <v>1532</v>
      </c>
      <c r="T662" s="3750"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7" t="s">
        <v>1082</v>
      </c>
      <c r="S663" s="3747" t="s">
        <v>634</v>
      </c>
      <c r="T663" s="3750"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7" t="s">
        <v>1083</v>
      </c>
      <c r="S664" s="3747" t="s">
        <v>664</v>
      </c>
      <c r="T664" s="3750"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7" t="s">
        <v>1084</v>
      </c>
      <c r="S665" s="3747" t="s">
        <v>160</v>
      </c>
      <c r="T665" s="3750"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8"/>
      <c r="R666" s="3747" t="s">
        <v>1085</v>
      </c>
      <c r="S666" s="3747" t="s">
        <v>1926</v>
      </c>
      <c r="T666" s="3750"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9"/>
      <c r="R667" s="3747" t="s">
        <v>1086</v>
      </c>
      <c r="S667" s="3747" t="s">
        <v>2021</v>
      </c>
      <c r="T667" s="3750"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7" t="s">
        <v>1087</v>
      </c>
      <c r="S668" s="3747" t="s">
        <v>634</v>
      </c>
      <c r="T668" s="3750"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7" t="s">
        <v>1088</v>
      </c>
      <c r="S669" s="3747" t="s">
        <v>1681</v>
      </c>
      <c r="T669" s="3750"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9"/>
      <c r="R670" s="3747" t="s">
        <v>1089</v>
      </c>
      <c r="S670" s="3747" t="s">
        <v>2502</v>
      </c>
      <c r="T670" s="3750"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7" t="s">
        <v>1090</v>
      </c>
      <c r="S671" s="3747" t="s">
        <v>160</v>
      </c>
      <c r="T671" s="3750"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7" t="s">
        <v>1091</v>
      </c>
      <c r="S672" s="3747" t="s">
        <v>160</v>
      </c>
      <c r="T672" s="3750"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5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wpvF9HTXLxpdUYLs1DPg1YhG0t/ApV7Ng/lC3fTmbDdGzMkI1xbcccGqWAYU0NI6FrwHks+fTBcs65sv4HnWJg==" saltValue="+/4N/uYLvuwIgt5JBa13P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Peaks of Cartersville</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12894.257033094385</v>
      </c>
    </row>
    <row r="9" spans="1:8" ht="21" customHeight="1">
      <c r="D9" s="1404">
        <v>2</v>
      </c>
      <c r="E9" s="1405">
        <f>-'Part VII-Pro Forma'!C23/12</f>
        <v>12894.257033094385</v>
      </c>
    </row>
    <row r="10" spans="1:8" ht="21" customHeight="1">
      <c r="D10" s="1404">
        <v>3</v>
      </c>
      <c r="E10" s="1405">
        <f>-'Part VII-Pro Forma'!D23/12</f>
        <v>12894.257033094385</v>
      </c>
    </row>
    <row r="11" spans="1:8" ht="21" customHeight="1">
      <c r="D11" s="1406">
        <v>4</v>
      </c>
      <c r="E11" s="1405">
        <f>-'Part VII-Pro Forma'!E23/12</f>
        <v>12894.257033094385</v>
      </c>
    </row>
    <row r="12" spans="1:8" ht="21" customHeight="1">
      <c r="D12" s="1406">
        <v>5</v>
      </c>
      <c r="E12" s="1405">
        <f>-'Part VII-Pro Forma'!F23/12</f>
        <v>12894.257033094385</v>
      </c>
    </row>
    <row r="13" spans="1:8" ht="21" customHeight="1">
      <c r="D13" s="1404">
        <v>6</v>
      </c>
      <c r="E13" s="1405">
        <f>-'Part VII-Pro Forma'!G23/12</f>
        <v>12894.257033094385</v>
      </c>
    </row>
    <row r="14" spans="1:8" ht="21" customHeight="1">
      <c r="D14" s="1404">
        <v>7</v>
      </c>
      <c r="E14" s="1405">
        <f>-'Part VII-Pro Forma'!H23/12</f>
        <v>12894.257033094385</v>
      </c>
    </row>
    <row r="15" spans="1:8" ht="21" customHeight="1">
      <c r="D15" s="1406">
        <v>8</v>
      </c>
      <c r="E15" s="1405">
        <f>-'Part VII-Pro Forma'!I23/12</f>
        <v>12894.257033094385</v>
      </c>
    </row>
    <row r="16" spans="1:8" ht="21" customHeight="1">
      <c r="D16" s="1404">
        <v>9</v>
      </c>
      <c r="E16" s="1405">
        <f>-'Part VII-Pro Forma'!J23/12</f>
        <v>12894.257033094385</v>
      </c>
    </row>
    <row r="17" spans="4:8" ht="21" customHeight="1">
      <c r="D17" s="1404">
        <v>10</v>
      </c>
      <c r="E17" s="1405">
        <f>-'Part VII-Pro Forma'!K23/12</f>
        <v>12894.257033094385</v>
      </c>
    </row>
    <row r="18" spans="4:8" ht="21" customHeight="1">
      <c r="D18" s="1406">
        <v>11</v>
      </c>
      <c r="E18" s="1405">
        <f>-'Part VII-Pro Forma'!B53/12</f>
        <v>12894.257033094385</v>
      </c>
    </row>
    <row r="19" spans="4:8" ht="21" customHeight="1">
      <c r="D19" s="1404">
        <v>12</v>
      </c>
      <c r="E19" s="1405">
        <f>-'Part VII-Pro Forma'!C53/12</f>
        <v>12894.257033094385</v>
      </c>
    </row>
    <row r="20" spans="4:8" ht="21" customHeight="1">
      <c r="D20" s="1404">
        <v>13</v>
      </c>
      <c r="E20" s="1405">
        <f>-'Part VII-Pro Forma'!D53/12</f>
        <v>12894.257033094385</v>
      </c>
    </row>
    <row r="21" spans="4:8" ht="21" customHeight="1">
      <c r="D21" s="1404">
        <v>14</v>
      </c>
      <c r="E21" s="1405">
        <f>-'Part VII-Pro Forma'!E53/12</f>
        <v>12894.257033094385</v>
      </c>
    </row>
    <row r="22" spans="4:8" ht="21" customHeight="1">
      <c r="D22" s="1404">
        <v>15</v>
      </c>
      <c r="E22" s="1405">
        <f>-'Part VII-Pro Forma'!F53/12</f>
        <v>12894.257033094385</v>
      </c>
    </row>
    <row r="23" spans="4:8" ht="21" customHeight="1">
      <c r="D23" s="1404">
        <v>16</v>
      </c>
      <c r="E23" s="1405">
        <f>-'Part VII-Pro Forma'!G53/12</f>
        <v>12894.257033094385</v>
      </c>
    </row>
    <row r="24" spans="4:8" ht="21" customHeight="1">
      <c r="D24" s="1404">
        <v>17</v>
      </c>
      <c r="E24" s="1405">
        <f>-'Part VII-Pro Forma'!H53/12</f>
        <v>12894.257033094385</v>
      </c>
      <c r="H24" s="580" t="s">
        <v>245</v>
      </c>
    </row>
    <row r="25" spans="4:8" ht="21" customHeight="1">
      <c r="D25" s="1404">
        <v>18</v>
      </c>
      <c r="E25" s="1405">
        <f>-'Part VII-Pro Forma'!I53/12</f>
        <v>12894.257033094385</v>
      </c>
    </row>
    <row r="26" spans="4:8" ht="21" customHeight="1">
      <c r="D26" s="1404">
        <v>19</v>
      </c>
      <c r="E26" s="1405">
        <f>-'Part VII-Pro Forma'!J53/12</f>
        <v>12894.257033094385</v>
      </c>
    </row>
    <row r="27" spans="4:8" ht="21" customHeight="1">
      <c r="D27" s="1404">
        <v>20</v>
      </c>
      <c r="E27" s="1405">
        <f>-'Part VII-Pro Forma'!K53/12</f>
        <v>12894.257033094385</v>
      </c>
    </row>
    <row r="28" spans="4:8" ht="21" customHeight="1">
      <c r="D28" s="1404">
        <v>21</v>
      </c>
      <c r="E28" s="1405">
        <f>-'Part VII-Pro Forma'!B83/12</f>
        <v>12894.257033094385</v>
      </c>
    </row>
    <row r="29" spans="4:8" ht="21" customHeight="1">
      <c r="D29" s="1404">
        <v>22</v>
      </c>
      <c r="E29" s="1405">
        <f>-'Part VII-Pro Forma'!C83/12</f>
        <v>12894.257033094385</v>
      </c>
    </row>
    <row r="30" spans="4:8" ht="21" customHeight="1">
      <c r="D30" s="1404">
        <v>23</v>
      </c>
      <c r="E30" s="1405">
        <f>-'Part VII-Pro Forma'!D83/12</f>
        <v>12894.257033094385</v>
      </c>
    </row>
    <row r="31" spans="4:8" ht="21" customHeight="1">
      <c r="D31" s="1404">
        <v>24</v>
      </c>
      <c r="E31" s="1405">
        <f>-'Part VII-Pro Forma'!E83/12</f>
        <v>12894.257033094385</v>
      </c>
    </row>
    <row r="32" spans="4:8" ht="21" customHeight="1">
      <c r="D32" s="1404">
        <v>25</v>
      </c>
      <c r="E32" s="1405">
        <f>-'Part VII-Pro Forma'!F83/12</f>
        <v>12894.257033094385</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Peaks of Cartersville</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4520</v>
      </c>
      <c r="D5" s="2250"/>
      <c r="E5" s="2251"/>
      <c r="F5" s="593"/>
      <c r="G5" s="2249" t="s">
        <v>4521</v>
      </c>
      <c r="H5" s="2250"/>
      <c r="I5" s="2251"/>
      <c r="J5" s="809"/>
      <c r="K5" s="2260" t="s">
        <v>4522</v>
      </c>
    </row>
    <row r="6" spans="1:11" s="814" customFormat="1" ht="15" customHeight="1">
      <c r="A6" s="813" t="s">
        <v>2732</v>
      </c>
      <c r="C6" s="815" t="s">
        <v>3559</v>
      </c>
      <c r="D6" s="815" t="s">
        <v>4523</v>
      </c>
      <c r="E6" s="815" t="s">
        <v>2006</v>
      </c>
      <c r="G6" s="815" t="s">
        <v>3560</v>
      </c>
      <c r="H6" s="815" t="s">
        <v>4524</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26</v>
      </c>
      <c r="E8" s="819">
        <f>C8*D8</f>
        <v>0</v>
      </c>
      <c r="G8" s="817"/>
      <c r="H8" s="818">
        <f>'Part VI-Revenues &amp; Expenses'!$K$62</f>
        <v>30</v>
      </c>
      <c r="I8" s="819">
        <f>G8*H8</f>
        <v>0</v>
      </c>
      <c r="K8" s="816" t="s">
        <v>3561</v>
      </c>
    </row>
    <row r="9" spans="1:11" s="593" customFormat="1" ht="13.5" customHeight="1">
      <c r="A9" s="593" t="s">
        <v>2731</v>
      </c>
      <c r="C9" s="817"/>
      <c r="D9" s="1407">
        <f>'Part VI-Revenues &amp; Expenses'!$L$58</f>
        <v>36</v>
      </c>
      <c r="E9" s="819">
        <f>C9*D9</f>
        <v>0</v>
      </c>
      <c r="G9" s="817"/>
      <c r="H9" s="818">
        <f>'Part VI-Revenues &amp; Expenses'!$L$62</f>
        <v>42</v>
      </c>
      <c r="I9" s="819">
        <f>G9*H9</f>
        <v>0</v>
      </c>
      <c r="K9" s="1414">
        <f>'Part IV-A-Uses of Funds'!$G$132</f>
        <v>13449266.200550128</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62</v>
      </c>
      <c r="E12" s="826"/>
      <c r="G12" s="825" t="s">
        <v>1806</v>
      </c>
      <c r="H12" s="1413">
        <f>SUM(H7:H11)</f>
        <v>72</v>
      </c>
      <c r="I12" s="826"/>
      <c r="K12" s="2253"/>
    </row>
    <row r="13" spans="1:11" s="593" customFormat="1" ht="13.5" customHeight="1" thickBot="1">
      <c r="A13" s="825" t="s">
        <v>3103</v>
      </c>
      <c r="B13" s="827"/>
      <c r="E13" s="828">
        <f>SUM(E7:E11)</f>
        <v>0</v>
      </c>
      <c r="G13" s="825" t="s">
        <v>3339</v>
      </c>
      <c r="H13" s="827"/>
      <c r="I13" s="829">
        <f>SUM(I7:I11)</f>
        <v>0</v>
      </c>
      <c r="K13" s="1414">
        <f>'Part VIII-Threshold Criteria'!$P$63</f>
        <v>13450872</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4308</v>
      </c>
      <c r="F18" s="1416"/>
      <c r="G18" s="1416"/>
      <c r="H18" s="1416"/>
      <c r="I18" s="1416"/>
      <c r="K18" s="1392">
        <f>Overview!$E$13</f>
        <v>62</v>
      </c>
    </row>
    <row r="19" spans="1:11" s="593" customFormat="1" ht="13.5" customHeight="1">
      <c r="A19" s="593" t="s">
        <v>3104</v>
      </c>
      <c r="E19" s="1410"/>
      <c r="K19" s="680">
        <f>Overview!$C$13</f>
        <v>72</v>
      </c>
    </row>
    <row r="20" spans="1:11" ht="3" customHeight="1">
      <c r="A20" s="831"/>
      <c r="E20" s="1411"/>
    </row>
    <row r="21" spans="1:11" s="593" customFormat="1" ht="13.5" customHeight="1">
      <c r="A21" s="593" t="s">
        <v>3105</v>
      </c>
      <c r="E21" s="1409" t="s">
        <v>3564</v>
      </c>
      <c r="K21" s="832">
        <f>K18/K19</f>
        <v>0.86111111111111116</v>
      </c>
    </row>
    <row r="22" spans="1:11" ht="6.75" customHeight="1">
      <c r="E22" s="1411"/>
    </row>
    <row r="23" spans="1:11" s="593" customFormat="1" ht="13.5" customHeight="1">
      <c r="A23" s="593" t="s">
        <v>3527</v>
      </c>
      <c r="C23" s="833"/>
      <c r="E23" s="1409" t="s">
        <v>3108</v>
      </c>
      <c r="K23" s="680">
        <f>K9</f>
        <v>13449266.200550128</v>
      </c>
    </row>
    <row r="24" spans="1:11" s="593" customFormat="1" ht="13.5" customHeight="1">
      <c r="A24" s="834" t="s">
        <v>1773</v>
      </c>
      <c r="E24" s="1410"/>
      <c r="K24" s="820">
        <f>'Part IV-A-Uses of Funds'!$G$122</f>
        <v>246829.20055012868</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13202437</v>
      </c>
    </row>
    <row r="29" spans="1:11" ht="6.75" customHeight="1">
      <c r="A29" s="831"/>
      <c r="E29" s="1411"/>
      <c r="K29" s="839"/>
    </row>
    <row r="30" spans="1:11" s="593" customFormat="1" ht="15" customHeight="1">
      <c r="A30" s="827" t="s">
        <v>3111</v>
      </c>
      <c r="E30" s="1409" t="s">
        <v>3571</v>
      </c>
      <c r="F30" s="840"/>
      <c r="G30" s="840"/>
      <c r="H30" s="840"/>
      <c r="I30" s="840"/>
      <c r="K30" s="841">
        <f>K21*K28</f>
        <v>11368765.194444446</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2500000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14</v>
      </c>
    </row>
    <row r="39" spans="1:11" s="593" customFormat="1" ht="15.75" customHeight="1" thickBot="1">
      <c r="A39" s="2254"/>
      <c r="B39" s="2254"/>
      <c r="C39" s="2254"/>
      <c r="D39" s="2258">
        <f>K36</f>
        <v>2500000</v>
      </c>
      <c r="E39" s="2258"/>
      <c r="F39" s="2259">
        <f>K28</f>
        <v>13202437</v>
      </c>
      <c r="G39" s="2259"/>
      <c r="H39" s="2259"/>
      <c r="I39" s="848">
        <f>K19</f>
        <v>72</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2018-035  Peaks of Cartersville</v>
      </c>
      <c r="B1" s="2263"/>
      <c r="C1" s="2263"/>
      <c r="D1" s="2263"/>
      <c r="E1" s="2263"/>
      <c r="F1" s="2263"/>
      <c r="G1" s="2263"/>
      <c r="H1" s="2263"/>
    </row>
    <row r="3" spans="1:13" ht="12" customHeight="1">
      <c r="A3" s="2264" t="s">
        <v>3530</v>
      </c>
      <c r="B3" s="2264"/>
      <c r="C3" s="2264"/>
      <c r="D3" s="2264"/>
      <c r="E3" s="2264"/>
      <c r="F3" s="2264"/>
      <c r="G3" s="2264"/>
      <c r="H3" s="2264"/>
      <c r="I3" s="1474"/>
      <c r="J3" s="2266" t="s">
        <v>4309</v>
      </c>
      <c r="K3" s="2266"/>
      <c r="L3" s="882"/>
      <c r="M3" s="882"/>
    </row>
    <row r="4" spans="1:13">
      <c r="J4" s="2266"/>
      <c r="K4" s="2266"/>
    </row>
    <row r="5" spans="1:13" ht="12" customHeight="1">
      <c r="A5" s="809">
        <v>1</v>
      </c>
      <c r="C5" s="809" t="s">
        <v>3113</v>
      </c>
      <c r="E5" s="864" t="str">
        <f>Overview!H9</f>
        <v>Peaks of Cartersville, LP</v>
      </c>
      <c r="J5" s="2266"/>
      <c r="K5" s="2266"/>
    </row>
    <row r="6" spans="1:13" ht="3" customHeight="1">
      <c r="H6" s="826"/>
      <c r="J6" s="2266"/>
      <c r="K6" s="2266"/>
    </row>
    <row r="7" spans="1:13" ht="12" customHeight="1">
      <c r="A7" s="809">
        <v>2</v>
      </c>
      <c r="C7" s="809" t="s">
        <v>3114</v>
      </c>
      <c r="E7" s="864" t="str">
        <f>'Part II-Development Team'!H6</f>
        <v>1819 Peachtree Road NE, Suite 520</v>
      </c>
      <c r="J7" s="2266"/>
      <c r="K7" s="2266"/>
    </row>
    <row r="8" spans="1:13" ht="12" customHeight="1">
      <c r="E8" s="864" t="str">
        <f>+'Part II-Development Team'!H7&amp;","&amp;" "&amp;'Part II-Development Team'!H8&amp;" "&amp;LEFT('Part II-Development Team'!J8,5)</f>
        <v>Atlanta, GA 30309</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Chase Northcutt</v>
      </c>
    </row>
    <row r="11" spans="1:13" ht="12" customHeight="1">
      <c r="C11" s="809" t="s">
        <v>4314</v>
      </c>
      <c r="E11" s="864" t="str">
        <f>'Part II-Development Team'!L9</f>
        <v>cnorthcutt@rhgroup.org</v>
      </c>
    </row>
    <row r="12" spans="1:13" ht="12" customHeight="1">
      <c r="C12" s="809" t="s">
        <v>4310</v>
      </c>
      <c r="E12" s="1475">
        <f>'Part II-Development Team'!H9</f>
        <v>4043642900</v>
      </c>
    </row>
    <row r="13" spans="1:13" ht="12" customHeight="1">
      <c r="C13" s="809" t="s">
        <v>4313</v>
      </c>
      <c r="E13" s="1475">
        <f>'Part II-Development Team'!Q7</f>
        <v>4043642937</v>
      </c>
    </row>
    <row r="14" spans="1:13" ht="3" customHeight="1"/>
    <row r="15" spans="1:13" ht="12" customHeight="1">
      <c r="A15" s="809">
        <v>3</v>
      </c>
      <c r="C15" s="809" t="s">
        <v>3117</v>
      </c>
      <c r="E15" s="864" t="str">
        <f>Overview!C8</f>
        <v>Peaks of Cartersville</v>
      </c>
    </row>
    <row r="16" spans="1:13" ht="12" customHeight="1">
      <c r="C16" s="809" t="s">
        <v>3118</v>
      </c>
      <c r="E16" s="864" t="str">
        <f>'Part I-Project Information'!$F$35</f>
        <v>TBD N. Tennessee Street</v>
      </c>
    </row>
    <row r="17" spans="1:8" ht="12" customHeight="1">
      <c r="E17" s="864" t="str">
        <f>+'Part I-Project Information'!$F$38&amp;","&amp;" GA "&amp;LEFT('Part I-Project Information'!$J$38,5)</f>
        <v>Cartersville, GA 30120</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4310</v>
      </c>
      <c r="E22" s="1475">
        <f>'Part II-Development Team'!H96</f>
        <v>5734432021</v>
      </c>
    </row>
    <row r="23" spans="1:8" ht="12" customHeight="1">
      <c r="C23" s="809" t="s">
        <v>4313</v>
      </c>
      <c r="E23" s="1475">
        <f>'Part II-Development Team'!Q94</f>
        <v>0</v>
      </c>
    </row>
    <row r="24" spans="1:8" ht="12" customHeight="1">
      <c r="C24" s="809" t="s">
        <v>4314</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2500000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456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Peaks of Cartersville GP, LLC</v>
      </c>
    </row>
    <row r="48" spans="1:7" ht="3" customHeight="1">
      <c r="E48" s="864"/>
    </row>
    <row r="49" spans="1:7" ht="12" customHeight="1">
      <c r="A49" s="809">
        <v>15</v>
      </c>
      <c r="C49" s="809" t="s">
        <v>4316</v>
      </c>
      <c r="E49" s="864" t="str">
        <f>'Part II-Development Team'!Q98</f>
        <v>Gregory Q.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72</v>
      </c>
    </row>
    <row r="53" spans="1:7" ht="3" customHeight="1">
      <c r="F53" s="854"/>
    </row>
    <row r="54" spans="1:7" ht="12" customHeight="1">
      <c r="A54" s="882">
        <v>17</v>
      </c>
      <c r="B54" s="882"/>
      <c r="C54" s="882" t="s">
        <v>3139</v>
      </c>
      <c r="D54" s="882"/>
      <c r="E54" s="882"/>
      <c r="F54" s="1482">
        <f>'Subsidy Layering WS'!K18</f>
        <v>62</v>
      </c>
      <c r="G54" s="882"/>
    </row>
    <row r="55" spans="1:7" ht="3" customHeight="1">
      <c r="F55" s="854"/>
    </row>
    <row r="56" spans="1:7" ht="12" customHeight="1">
      <c r="A56" s="809">
        <v>18</v>
      </c>
      <c r="C56" s="809" t="s">
        <v>3140</v>
      </c>
      <c r="F56" s="1482">
        <f>'Part VI-Revenues &amp; Expenses'!O61</f>
        <v>0</v>
      </c>
      <c r="G56" s="809" t="s">
        <v>4315</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Peaks of Cartersville,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246829.20055012868</v>
      </c>
    </row>
    <row r="72" spans="1:7" ht="3" customHeight="1">
      <c r="F72" s="1487"/>
    </row>
    <row r="73" spans="1:7" ht="12" customHeight="1">
      <c r="A73" s="809">
        <v>26</v>
      </c>
      <c r="C73" s="809" t="s">
        <v>3149</v>
      </c>
      <c r="F73" s="1487">
        <f>'Part IV-A-Uses of Funds'!$G$123</f>
        <v>8000</v>
      </c>
    </row>
    <row r="74" spans="1:7" ht="3" customHeight="1">
      <c r="F74" s="1487"/>
    </row>
    <row r="75" spans="1:7" ht="12" customHeight="1">
      <c r="A75" s="809">
        <v>27</v>
      </c>
      <c r="C75" s="809" t="s">
        <v>3150</v>
      </c>
      <c r="F75" s="1488">
        <f>'Part IV-A-Uses of Funds'!$G$121</f>
        <v>84150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2018-035  Peaks of Cartersville</v>
      </c>
      <c r="B2" s="2281"/>
      <c r="C2" s="2281"/>
      <c r="D2" s="2281"/>
      <c r="E2" s="2281"/>
      <c r="F2" s="2281"/>
      <c r="G2" s="2281"/>
      <c r="H2" s="2281"/>
      <c r="I2" s="2281"/>
      <c r="J2" s="2281"/>
    </row>
    <row r="3" spans="1:13" ht="6" customHeight="1">
      <c r="K3" s="2266" t="s">
        <v>4309</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Peaks of Cartersville,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Chase Northcutt</v>
      </c>
      <c r="G15" s="746"/>
      <c r="I15" s="851"/>
    </row>
    <row r="16" spans="1:13" ht="12" customHeight="1">
      <c r="A16" s="864" t="s">
        <v>4525</v>
      </c>
      <c r="C16" s="853" t="str">
        <f>'Part II-Development Team'!Q6</f>
        <v>President of Manager of GP</v>
      </c>
      <c r="G16" s="746"/>
      <c r="I16" s="851"/>
    </row>
    <row r="17" spans="1:9" ht="3" customHeight="1">
      <c r="G17" s="746"/>
      <c r="H17" s="851"/>
      <c r="I17" s="851"/>
    </row>
    <row r="18" spans="1:9" ht="12" customHeight="1">
      <c r="A18" s="809" t="s">
        <v>3159</v>
      </c>
      <c r="C18" s="853" t="str">
        <f>'Preview term'!$E$7</f>
        <v>1819 Peachtree Road NE, Suite 520</v>
      </c>
      <c r="G18" s="746"/>
      <c r="I18" s="851"/>
    </row>
    <row r="19" spans="1:9" ht="12" customHeight="1">
      <c r="C19" s="853" t="str">
        <f>'Preview term'!$E$8</f>
        <v>Atlanta, GA 30309</v>
      </c>
      <c r="G19" s="746"/>
      <c r="I19" s="851"/>
    </row>
    <row r="20" spans="1:9" ht="3" customHeight="1">
      <c r="G20" s="746"/>
      <c r="H20" s="851"/>
      <c r="I20" s="851"/>
    </row>
    <row r="21" spans="1:9" ht="12" customHeight="1">
      <c r="A21" s="809" t="s">
        <v>3160</v>
      </c>
      <c r="C21" s="853" t="str">
        <f>CONCATENATE('Preview term'!E49," of  ",'Preview term'!G49)</f>
        <v>Gregory Q. Clark of  Coleman Talley, LLP</v>
      </c>
      <c r="G21" s="746"/>
      <c r="I21" s="851"/>
    </row>
    <row r="22" spans="1:9" ht="3" customHeight="1">
      <c r="C22" s="853"/>
      <c r="G22" s="746"/>
      <c r="I22" s="851"/>
    </row>
    <row r="23" spans="1:9" ht="12" customHeight="1">
      <c r="A23" s="809" t="s">
        <v>3161</v>
      </c>
      <c r="C23" s="853">
        <f>'Preview term'!E12</f>
        <v>4043642900</v>
      </c>
      <c r="G23" s="746"/>
      <c r="I23" s="851"/>
    </row>
    <row r="24" spans="1:9" ht="3" customHeight="1">
      <c r="C24" s="853"/>
      <c r="G24" s="746"/>
      <c r="I24" s="851"/>
    </row>
    <row r="25" spans="1:9" ht="12" customHeight="1">
      <c r="A25" s="809" t="s">
        <v>3162</v>
      </c>
      <c r="C25" s="1421" t="str">
        <f>'Preview term'!E11</f>
        <v>cnorthcutt@rhgroup.org</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Peaks of Cartersville</v>
      </c>
      <c r="I28" s="851"/>
    </row>
    <row r="29" spans="1:9" ht="3" customHeight="1">
      <c r="C29" s="853"/>
      <c r="I29" s="851"/>
    </row>
    <row r="30" spans="1:9" ht="12" customHeight="1">
      <c r="A30" s="809" t="s">
        <v>3165</v>
      </c>
      <c r="C30" s="853" t="str">
        <f>'Preview term'!E16</f>
        <v>TBD N. Tennessee Street</v>
      </c>
      <c r="I30" s="851"/>
    </row>
    <row r="31" spans="1:9">
      <c r="C31" s="851" t="str">
        <f>'Preview term'!E17</f>
        <v>Cartersville, GA 30120</v>
      </c>
      <c r="I31" s="851"/>
    </row>
    <row r="32" spans="1:9" ht="3" customHeight="1">
      <c r="C32" s="746"/>
      <c r="D32" s="746"/>
      <c r="I32" s="746"/>
    </row>
    <row r="33" spans="1:10" ht="12" customHeight="1">
      <c r="A33" s="809" t="s">
        <v>3166</v>
      </c>
      <c r="C33" s="746" t="s">
        <v>3167</v>
      </c>
      <c r="D33" s="1420">
        <f>'Preview term'!F54</f>
        <v>62</v>
      </c>
      <c r="I33" s="746"/>
    </row>
    <row r="34" spans="1:10" ht="12" customHeight="1">
      <c r="C34" s="746" t="s">
        <v>3168</v>
      </c>
      <c r="D34" s="855">
        <f>'Subsidy Layering WS'!H12-'Subsidy Layering WS'!D12</f>
        <v>10</v>
      </c>
      <c r="I34" s="746"/>
    </row>
    <row r="35" spans="1:10" ht="12" customHeight="1">
      <c r="C35" s="746" t="s">
        <v>3169</v>
      </c>
      <c r="D35" s="856">
        <f>SUM(D33:D34)</f>
        <v>72</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Bartow</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Peaks of Cartersville GP, LLC</v>
      </c>
      <c r="G55" s="746"/>
      <c r="I55" s="746"/>
    </row>
    <row r="56" spans="1:10" ht="3" customHeight="1">
      <c r="C56" s="852"/>
      <c r="G56" s="746"/>
      <c r="I56" s="746"/>
    </row>
    <row r="57" spans="1:10" ht="12" customHeight="1">
      <c r="A57" s="809" t="s">
        <v>3182</v>
      </c>
      <c r="C57" s="852" t="str">
        <f>Overview!C11</f>
        <v>Not Applicable</v>
      </c>
      <c r="E57" s="852" t="str">
        <f>Overview!E11</f>
        <v>Not Applicable</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2500000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456</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1874472.2988453386</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Bellweather Enterprise Real Estate Capital</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Bellweather Enterprise Real Estate Capital</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4318</v>
      </c>
      <c r="I113" s="746"/>
    </row>
    <row r="114" spans="1:10" ht="12" customHeight="1">
      <c r="C114" s="852" t="s">
        <v>4317</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4319</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Peaks of Cartersville Development, LLC</v>
      </c>
      <c r="D130" s="852" t="str">
        <f>Overview!K11</f>
        <v>Not Applicable</v>
      </c>
      <c r="G130" s="852" t="str">
        <f>Overview!M11</f>
        <v>Not Applicable</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781915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Peaks of Cartersville, LP</v>
      </c>
      <c r="G139" s="746"/>
      <c r="I139" s="851"/>
      <c r="J139" s="882"/>
    </row>
    <row r="140" spans="1:10" ht="3" customHeight="1">
      <c r="C140" s="853"/>
      <c r="G140" s="746"/>
      <c r="I140" s="851"/>
      <c r="J140" s="882"/>
    </row>
    <row r="141" spans="1:10" ht="12" customHeight="1">
      <c r="A141" s="809" t="s">
        <v>3231</v>
      </c>
      <c r="C141" s="853" t="str">
        <f>C18</f>
        <v>1819 Peachtree Road NE, Suite 520</v>
      </c>
      <c r="G141" s="746"/>
      <c r="I141" s="851"/>
      <c r="J141" s="882"/>
    </row>
    <row r="142" spans="1:10">
      <c r="C142" s="853" t="str">
        <f>C19</f>
        <v>Atlanta, GA 30309</v>
      </c>
      <c r="G142" s="746"/>
      <c r="I142" s="851"/>
      <c r="J142" s="882"/>
    </row>
    <row r="143" spans="1:10" ht="3" customHeight="1">
      <c r="C143" s="883"/>
      <c r="G143" s="746"/>
      <c r="I143" s="851"/>
      <c r="J143" s="882"/>
    </row>
    <row r="144" spans="1:10" ht="12" customHeight="1">
      <c r="A144" s="809" t="s">
        <v>3232</v>
      </c>
      <c r="C144" s="853" t="str">
        <f>Overview!H10</f>
        <v>Affordable Equity Partners</v>
      </c>
      <c r="G144" s="746"/>
      <c r="I144" s="851"/>
      <c r="J144" s="881"/>
    </row>
    <row r="145" spans="1:10" ht="3" customHeight="1">
      <c r="C145" s="853"/>
      <c r="G145" s="746"/>
      <c r="I145" s="851"/>
      <c r="J145" s="882"/>
    </row>
    <row r="146" spans="1:10" ht="12" customHeight="1">
      <c r="A146" s="809" t="s">
        <v>3233</v>
      </c>
      <c r="C146" s="853" t="str">
        <f>Overview!K10</f>
        <v>Affordable Equity Partners</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246829.20055012868</v>
      </c>
      <c r="G166" s="746"/>
      <c r="I166" s="746"/>
    </row>
    <row r="167" spans="1:13" ht="12" customHeight="1">
      <c r="C167" s="809" t="s">
        <v>3541</v>
      </c>
      <c r="E167" s="2274"/>
      <c r="F167" s="2274"/>
      <c r="G167" s="2274"/>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8000</v>
      </c>
      <c r="G170" s="746"/>
      <c r="I170" s="746"/>
    </row>
    <row r="171" spans="1:13" ht="12" customHeight="1">
      <c r="C171" s="809" t="s">
        <v>3245</v>
      </c>
      <c r="E171" s="885">
        <f>'Preview term'!F73</f>
        <v>8000</v>
      </c>
      <c r="G171" s="746"/>
      <c r="I171" s="851"/>
      <c r="J171" s="882"/>
      <c r="K171" s="882"/>
      <c r="L171" s="882"/>
      <c r="M171" s="882"/>
    </row>
    <row r="172" spans="1:13" ht="12" customHeight="1">
      <c r="C172" s="809" t="s">
        <v>3246</v>
      </c>
      <c r="E172" s="880">
        <f>'Part VI-Revenues &amp; Expenses'!P179</f>
        <v>18000</v>
      </c>
      <c r="F172" s="851" t="s">
        <v>3247</v>
      </c>
      <c r="J172" s="882"/>
      <c r="K172" s="882"/>
      <c r="L172" s="882"/>
      <c r="M172" s="882"/>
    </row>
    <row r="173" spans="1:13">
      <c r="E173" s="885">
        <f>E172/12</f>
        <v>1500</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84150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Peaks of Cartersville</v>
      </c>
    </row>
    <row r="2" spans="1:11">
      <c r="A2" s="746" t="s">
        <v>3259</v>
      </c>
      <c r="H2" s="809" t="str">
        <f>Overview!E8</f>
        <v>2018-035</v>
      </c>
    </row>
    <row r="3" spans="1:11" ht="3" customHeight="1"/>
    <row r="4" spans="1:11" ht="51.75" customHeight="1">
      <c r="A4" s="2268" t="s">
        <v>3359</v>
      </c>
      <c r="B4" s="2268"/>
      <c r="C4" s="2268"/>
      <c r="D4" s="2268"/>
      <c r="E4" s="2268"/>
      <c r="F4" s="2268"/>
      <c r="G4" s="2268"/>
      <c r="H4" s="2268"/>
      <c r="J4" s="1444">
        <f>SUM('Part VII-Pro Forma'!B14:B16)/12</f>
        <v>46078.244999999995</v>
      </c>
      <c r="K4" s="1443" t="s">
        <v>4526</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10942986.5</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4290</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4333</v>
      </c>
      <c r="C1" s="2305"/>
      <c r="D1" s="2305"/>
      <c r="E1" s="2305"/>
      <c r="F1" s="2305"/>
      <c r="G1" s="2305"/>
      <c r="H1" s="2305"/>
      <c r="I1" s="2305"/>
    </row>
    <row r="2" spans="2:13" ht="15">
      <c r="B2" s="1491" t="s">
        <v>4321</v>
      </c>
      <c r="C2" s="857"/>
      <c r="D2" s="857"/>
      <c r="E2" s="857"/>
      <c r="F2" s="857"/>
      <c r="G2" s="857"/>
      <c r="H2" s="857"/>
      <c r="I2" s="857"/>
    </row>
    <row r="3" spans="2:13" ht="14.25">
      <c r="B3" s="1492" t="s">
        <v>4328</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Peaks of Cartersville, LP</v>
      </c>
      <c r="C5" s="2308"/>
      <c r="D5" s="2308"/>
      <c r="E5" s="2318"/>
      <c r="F5" s="2319"/>
      <c r="G5" s="2315" t="str">
        <f>'Closing term sheet'!C28</f>
        <v>Peaks of Cartersville</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4323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4320</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4324</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4325</v>
      </c>
      <c r="C19" s="1495"/>
      <c r="D19" s="1495"/>
      <c r="E19" s="1495"/>
      <c r="F19" s="1495"/>
      <c r="G19" s="1495"/>
      <c r="H19" s="1495"/>
      <c r="I19" s="1512"/>
    </row>
    <row r="20" spans="2:9" ht="7.5" customHeight="1">
      <c r="B20" s="1506"/>
      <c r="C20" s="1495"/>
      <c r="D20" s="1495"/>
      <c r="E20" s="1495"/>
      <c r="F20" s="1495"/>
      <c r="G20" s="1495"/>
      <c r="H20" s="1495"/>
      <c r="I20" s="1512"/>
    </row>
    <row r="21" spans="2:9">
      <c r="B21" s="1506" t="s">
        <v>4322</v>
      </c>
      <c r="C21" s="1495"/>
      <c r="D21" s="1495"/>
      <c r="E21" s="1495"/>
      <c r="F21" s="1495"/>
      <c r="G21" s="1495"/>
      <c r="H21" s="1495"/>
      <c r="I21" s="1507"/>
    </row>
    <row r="22" spans="2:9">
      <c r="B22" s="1511" t="s">
        <v>4326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4327</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4329</v>
      </c>
    </row>
    <row r="34" spans="2:9" ht="3" customHeight="1">
      <c r="B34" s="1516"/>
      <c r="C34" s="1501"/>
      <c r="D34" s="1501"/>
      <c r="E34" s="1501"/>
      <c r="F34" s="1501"/>
      <c r="G34" s="1501"/>
      <c r="H34" s="1501"/>
      <c r="I34" s="1517"/>
    </row>
    <row r="35" spans="2:9">
      <c r="B35" s="1506" t="s">
        <v>4332</v>
      </c>
      <c r="C35" s="1495"/>
      <c r="D35" s="1495"/>
      <c r="F35" s="1521"/>
      <c r="H35" s="2290" t="s">
        <v>4341</v>
      </c>
      <c r="I35" s="2291"/>
    </row>
    <row r="36" spans="2:9">
      <c r="B36" s="1522" t="s">
        <v>4340</v>
      </c>
      <c r="C36" s="1520"/>
      <c r="D36" s="1520"/>
      <c r="E36" s="1495"/>
      <c r="F36" s="1523"/>
      <c r="G36" s="1524"/>
      <c r="H36" s="2290"/>
      <c r="I36" s="2291"/>
    </row>
    <row r="37" spans="2:9">
      <c r="B37" s="1522" t="s">
        <v>4338</v>
      </c>
      <c r="D37" s="1520"/>
      <c r="E37" s="1495"/>
      <c r="F37" s="1525"/>
      <c r="G37" s="1524"/>
      <c r="H37" s="2290"/>
      <c r="I37" s="2291"/>
    </row>
    <row r="38" spans="2:9">
      <c r="B38" s="1522" t="s">
        <v>4339</v>
      </c>
      <c r="D38" s="1495"/>
      <c r="E38" s="1495"/>
      <c r="F38" s="1525"/>
      <c r="G38" s="1524"/>
      <c r="H38" s="1524"/>
      <c r="I38" s="1526"/>
    </row>
    <row r="39" spans="2:9" ht="12.75" customHeight="1">
      <c r="B39" s="1522" t="s">
        <v>4337</v>
      </c>
      <c r="C39" s="1495"/>
      <c r="D39" s="1495"/>
      <c r="E39" s="1495"/>
      <c r="F39" s="1525"/>
      <c r="G39" s="1524"/>
      <c r="H39" s="1524"/>
      <c r="I39" s="1526"/>
    </row>
    <row r="40" spans="2:9">
      <c r="B40" s="1527" t="s">
        <v>4336</v>
      </c>
      <c r="C40" s="1528"/>
      <c r="D40" s="1529"/>
      <c r="E40" s="1530"/>
      <c r="F40" s="1525"/>
      <c r="G40" s="1530"/>
      <c r="H40" s="1507"/>
      <c r="I40" s="1505"/>
    </row>
    <row r="41" spans="2:9">
      <c r="B41" s="1527" t="s">
        <v>4335</v>
      </c>
      <c r="C41" s="1528"/>
      <c r="D41" s="1529"/>
      <c r="E41" s="1495"/>
      <c r="F41" s="1525"/>
      <c r="G41" s="1495"/>
      <c r="H41" s="1495"/>
      <c r="I41" s="1505"/>
    </row>
    <row r="42" spans="2:9">
      <c r="B42" s="1531" t="s">
        <v>4334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4331</v>
      </c>
    </row>
    <row r="46" spans="2:9" ht="3" customHeight="1">
      <c r="B46" s="1516"/>
      <c r="C46" s="1501"/>
      <c r="D46" s="1501"/>
      <c r="E46" s="1501"/>
      <c r="F46" s="1501"/>
      <c r="G46" s="1501"/>
      <c r="H46" s="1501"/>
      <c r="I46" s="1517"/>
    </row>
    <row r="47" spans="2:9" ht="18">
      <c r="B47" s="1506" t="s">
        <v>4330</v>
      </c>
      <c r="C47" s="1495"/>
      <c r="D47" s="1533"/>
      <c r="E47" s="1534" t="str">
        <f>Overview!H7</f>
        <v>New Construction</v>
      </c>
      <c r="F47" s="833" t="s">
        <v>4342</v>
      </c>
      <c r="H47" s="1495"/>
      <c r="I47" s="1505"/>
    </row>
    <row r="48" spans="2:9">
      <c r="B48" s="1511" t="s">
        <v>3282</v>
      </c>
      <c r="C48" s="1520"/>
      <c r="D48" s="1520" t="s">
        <v>3283</v>
      </c>
      <c r="E48" s="1495"/>
      <c r="F48" s="2299" t="str">
        <f>'Closing term sheet'!$C$30</f>
        <v>TBD N. Tennessee Street</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4343</v>
      </c>
      <c r="C52" s="2322" t="str">
        <f>'Part I-Project Information'!F38</f>
        <v>Cartersville</v>
      </c>
      <c r="D52" s="2323"/>
      <c r="E52" s="1539" t="s">
        <v>4344</v>
      </c>
      <c r="F52" s="1497" t="s">
        <v>856</v>
      </c>
      <c r="G52" s="1539" t="s">
        <v>4345</v>
      </c>
      <c r="H52" s="1540">
        <f>'Part I-Project Information'!J38</f>
        <v>301202858</v>
      </c>
      <c r="I52" s="1505"/>
    </row>
    <row r="53" spans="2:9">
      <c r="B53" s="1538" t="s">
        <v>4507</v>
      </c>
      <c r="D53" s="1541" t="e">
        <f>VLOOKUP("='Part I-Project Information'!$J$39",'DCA Underwriting Assumptions'!$G$155:$O$314,9)</f>
        <v>#N/A</v>
      </c>
      <c r="I53" s="1505"/>
    </row>
    <row r="54" spans="2:9">
      <c r="B54" s="1538" t="s">
        <v>4508</v>
      </c>
      <c r="D54" s="1495"/>
      <c r="E54" s="1495"/>
      <c r="F54" s="1495"/>
      <c r="G54" s="1495"/>
      <c r="I54" s="1505"/>
    </row>
    <row r="55" spans="2:9">
      <c r="B55" s="1531" t="s">
        <v>4509</v>
      </c>
      <c r="D55" s="1542">
        <f>'Closing term sheet'!$D$33</f>
        <v>62</v>
      </c>
      <c r="E55" s="1543"/>
      <c r="F55" s="866" t="s">
        <v>3287</v>
      </c>
      <c r="G55" s="1495"/>
      <c r="H55" s="1495"/>
      <c r="I55" s="1505"/>
    </row>
    <row r="56" spans="2:9">
      <c r="B56" s="1531" t="s">
        <v>4511</v>
      </c>
      <c r="D56" s="1544">
        <f>'Closing term sheet'!$D$62</f>
        <v>2500000</v>
      </c>
      <c r="E56" s="1545"/>
      <c r="F56" s="866" t="s">
        <v>3288</v>
      </c>
      <c r="G56" s="1495"/>
      <c r="H56" s="1495"/>
      <c r="I56" s="1505"/>
    </row>
    <row r="57" spans="2:9">
      <c r="B57" s="1522" t="s">
        <v>4510</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72</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2500000</v>
      </c>
      <c r="G84" s="2295"/>
      <c r="H84" s="1495"/>
      <c r="I84" s="1505"/>
    </row>
    <row r="85" spans="2:9">
      <c r="B85" s="1503"/>
      <c r="C85" s="886" t="s">
        <v>3306</v>
      </c>
      <c r="D85" s="1495"/>
      <c r="E85" s="1495"/>
      <c r="F85" s="2321" t="e">
        <f>'Part III-Sources of Funds'!I44+'Part III-Sources of Funds'!I45</f>
        <v>#N/A</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t="e">
        <f>SUM(F84:G88)</f>
        <v>#N/A</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t="e">
        <f>+F103+F101+F95+F89</f>
        <v>#N/A</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4125</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3702</v>
      </c>
      <c r="C13" s="2913"/>
      <c r="D13" s="2913"/>
      <c r="E13" s="2913"/>
      <c r="F13" s="2913"/>
      <c r="G13" s="2913"/>
      <c r="H13" s="2913"/>
      <c r="I13" s="2913"/>
      <c r="J13" s="2913"/>
      <c r="K13" s="2913"/>
      <c r="L13" s="2913"/>
      <c r="M13" s="2913"/>
    </row>
    <row r="14" spans="1:26" ht="47.25" customHeight="1">
      <c r="A14" s="2912" t="s">
        <v>1751</v>
      </c>
      <c r="B14" s="2913" t="s">
        <v>3703</v>
      </c>
      <c r="C14" s="2913"/>
      <c r="D14" s="2913"/>
      <c r="E14" s="2913"/>
      <c r="F14" s="2913"/>
      <c r="G14" s="2913"/>
      <c r="H14" s="2913"/>
      <c r="I14" s="2913"/>
      <c r="J14" s="2913"/>
      <c r="K14" s="2913"/>
      <c r="L14" s="2913"/>
      <c r="M14" s="2913"/>
    </row>
    <row r="15" spans="1:26" ht="117" customHeight="1">
      <c r="A15" s="2912" t="s">
        <v>1752</v>
      </c>
      <c r="B15" s="2913" t="s">
        <v>3704</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3705</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ycIxhwMu4cuhdij5kChBYwWL7/zyIIFT3JZaQvfnVfwIw2LWeeKpb6f/+kVXKmurg7mnxXT2soBk3xfFM3exkw==" saltValue="paXvThJWCXE9G4CUZu2hM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9"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3977</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3893</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3978</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3978</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3979</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3979</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3979</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3875</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3987</v>
      </c>
      <c r="G80" s="177"/>
      <c r="H80" s="175"/>
      <c r="I80" s="175"/>
      <c r="J80" s="179" t="s">
        <v>3983</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3984</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3985</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3986</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3981</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4293</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3892</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3911</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4249</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3980</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3927</v>
      </c>
      <c r="I127" s="175"/>
      <c r="J127" s="177" t="s">
        <v>3928</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3921</v>
      </c>
      <c r="I128" s="175"/>
      <c r="J128" s="177" t="s">
        <v>3929</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3930</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3976</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4228</v>
      </c>
      <c r="E151" s="292"/>
      <c r="F151" s="292"/>
    </row>
    <row r="152" spans="2:30" ht="10.5" customHeight="1">
      <c r="C152" s="2338"/>
      <c r="E152" s="292"/>
      <c r="F152" s="292"/>
    </row>
    <row r="153" spans="2:30" ht="10.5" customHeight="1">
      <c r="C153" s="2338"/>
      <c r="D153" s="1356" t="s">
        <v>3989</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3919</v>
      </c>
      <c r="O154" s="583" t="s">
        <v>4346</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4347</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4348</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4349</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4350</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4351</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4352</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4353</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4354</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4355</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4356</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4357</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4358</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4359</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4360</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4361</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4362</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4363</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4364</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4365</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4366</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4367</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4368</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4369</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4370</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4371</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4372</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4373</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4374</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4375</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4376</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4377</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4378</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4379</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4380</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4381</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4382</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4383</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4384</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4385</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4386</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4387</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4388</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4389</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4390</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4391</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4392</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4393</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4394</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4395</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4396</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4397</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4398</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4399</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4400</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4401</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4402</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4403</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4404</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4405</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4406</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4407</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4408</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4409</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4410</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4411</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4412</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4413</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4414</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4415</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4416</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4417</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4418</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4419</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4420</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4421</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4422</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4423</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4424</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4425</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4426</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4427</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4428</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4429</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4430</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4431</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4432</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4433</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4434</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4435</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2" t="s">
        <v>2616</v>
      </c>
      <c r="N244" s="2902" t="s">
        <v>1342</v>
      </c>
      <c r="O244" s="2901" t="s">
        <v>4436</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4437</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4438</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4439</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4440</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4441</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4442</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4443</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4444</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4445</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4446</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4447</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4448</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4449</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2" t="s">
        <v>2616</v>
      </c>
      <c r="N258" s="2902" t="s">
        <v>1217</v>
      </c>
      <c r="O258" s="2901" t="s">
        <v>4450</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4451</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4452</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4453</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4454</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4455</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4456</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4457</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4458</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4459</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4460</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4461</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4462</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4463</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4464</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4465</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4466</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4467</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4468</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4469</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4470</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4471</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4472</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4473</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4474</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4475</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4476</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4477</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4478</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4479</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4480</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4481</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4482</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4483</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4484</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4485</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4486</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4487</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4488</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4489</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4490</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4491</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4492</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4493</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4494</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4495</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4496</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4497</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4498</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4499</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4500</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4501</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4502</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4503</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4504</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4505</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4506</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sAXLW8Nv3hE+Xn9d0JR7MP5R+9fEwjRTJ40p48o5YMXkjpt7pacNCSdFVe8g10ISC/cWddetfuZfd+B9HVGkVw==" saltValue="9Ief2I8AGx1M82pwmhXCX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9" width="12.7109375" style="683" customWidth="1"/>
    <col min="20" max="278" width="9.42578125" style="683" bestFit="1" customWidth="1"/>
    <col min="279" max="16384" width="9.140625" style="683"/>
  </cols>
  <sheetData>
    <row r="1" spans="1:16" ht="15.75">
      <c r="A1" s="2345" t="s">
        <v>988</v>
      </c>
    </row>
    <row r="2" spans="1:16" ht="16.5">
      <c r="A2" s="2346" t="str">
        <f>'Part I-Project Information'!F34</f>
        <v>Peaks of Cartersville</v>
      </c>
    </row>
    <row r="3" spans="1:16" ht="16.5">
      <c r="A3" s="2346" t="str">
        <f>CONCATENATE('Part I-Project Information'!F38,", ", 'Part I-Project Information'!J39," County")</f>
        <v>Cartersville, Bartow County</v>
      </c>
    </row>
    <row r="5" spans="1:16" ht="12.75" customHeight="1">
      <c r="A5" s="2347" t="str">
        <f>'Project Narrative'!$A$5</f>
        <v xml:space="preserve">     The proposed project involves the new construction of a 72 unit mulitfamily rental community for seniors, on a +-5.87 acre site in Cartersville, Georgia.  The project will offer one-bedroom and two-bedroom garden style units located within two, three story elevator buidlings.  The project will also include a free-standing community building which will house the subject's management office and resident common areas.  The subject property will be developed using Low Income Housing Tax Credit (LIHTC) financing and will target market rate, as well as, lower-income family households earning up to 50% and 60% of Area Median Household Income (AMHI).
     The proposed subject site is a parcel of land situated within an established portion of Cartersville that is gernally comprised of commercial and residential structures in good condition.  In addition to the well maintained existing structures withing the site neighborhood, wooded land surrounds portions of the subject site which creates a natural buffer to additional surrounding land uses within the immediate site neighborhood.  The subject site is clearly visible and easily accessible from North Tennessee Street, which borders the site to the east and will provide passersby traffic to the subject development.  In addition to providing clear visibility and convenient access, the subject location along this aforementioned arterial road also allows for convenient access to many area services.  Overall, the subject development is expected to benefit from its clear visibility and proximity to most basic community services.
     The development will be new construction and will qualify for the EarthCraft Multifamily certification.  The design features, services, and amenities will include Energy Star appliance packages in each unit, a community center with gathering area, a wellness enter, covered pavilion with grilling/barbecue area and a fenced community garden.  The development is within walking distance of restaurants, grocery stores, parks, banks, pharmacies, shopping and employment.</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303281636, 301200000,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4515</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4759</v>
      </c>
      <c r="H16" s="2351"/>
      <c r="I16" s="2351"/>
      <c r="J16" s="2351"/>
      <c r="K16" s="2351"/>
      <c r="L16" s="2349"/>
      <c r="M16" s="2351"/>
      <c r="N16" s="2351"/>
      <c r="O16" s="2351"/>
      <c r="P16" s="2354" t="s">
        <v>3897</v>
      </c>
    </row>
    <row r="17" spans="1:16" ht="14.25" customHeight="1">
      <c r="A17" s="2351"/>
      <c r="B17" s="2355"/>
      <c r="C17" s="2355"/>
      <c r="D17" s="2355"/>
      <c r="E17" s="2355"/>
      <c r="F17" s="2349"/>
      <c r="G17" s="2353" t="s">
        <v>4760</v>
      </c>
      <c r="H17" s="2356"/>
      <c r="I17" s="2356"/>
      <c r="J17" s="2356"/>
      <c r="K17" s="2351"/>
      <c r="L17" s="2351"/>
      <c r="M17" s="2351"/>
      <c r="N17" s="2351"/>
      <c r="O17" s="2348" t="str">
        <f>'Part I-Project Information'!$O$6</f>
        <v>2018-035</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3825</v>
      </c>
      <c r="G20" s="2351"/>
      <c r="H20" s="2351"/>
      <c r="I20" s="2360">
        <f>'Part IV-A-Uses of Funds'!$J$175</f>
        <v>850000</v>
      </c>
      <c r="J20" s="2360"/>
      <c r="K20" s="2351"/>
      <c r="L20" s="2351" t="s">
        <v>3826</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3741</v>
      </c>
      <c r="J22" s="2348" t="s">
        <v>4761</v>
      </c>
      <c r="K22" s="2348"/>
      <c r="L22" s="2356"/>
      <c r="M22" s="2351"/>
      <c r="N22" s="2351"/>
      <c r="O22" s="2351" t="str">
        <f>'Part I-Project Information'!$O$11</f>
        <v>2018-019</v>
      </c>
      <c r="P22" s="2351"/>
    </row>
    <row r="23" spans="1:16" ht="13.5" customHeight="1">
      <c r="A23" s="2349"/>
      <c r="B23" s="2365" t="s">
        <v>4516</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Yes</v>
      </c>
      <c r="G25" s="2359" t="s">
        <v>3823</v>
      </c>
      <c r="K25" s="2351"/>
      <c r="L25" s="2351"/>
      <c r="M25" s="2351"/>
      <c r="N25" s="2351"/>
      <c r="O25" s="2351"/>
      <c r="P25" s="2351"/>
    </row>
    <row r="26" spans="1:16">
      <c r="A26" s="2349"/>
      <c r="B26" s="2351" t="s">
        <v>3898</v>
      </c>
      <c r="C26" s="2351"/>
      <c r="D26" s="2348"/>
      <c r="E26" s="2351"/>
      <c r="F26" s="2367" t="str">
        <f>'Part I-Project Information'!$F$15</f>
        <v>Peaks of Cartersville</v>
      </c>
      <c r="G26" s="2367"/>
      <c r="H26" s="2367"/>
      <c r="I26" s="2367"/>
      <c r="J26" s="2367"/>
      <c r="K26" s="2367"/>
      <c r="L26" s="2351" t="s">
        <v>3822</v>
      </c>
      <c r="M26" s="2351"/>
      <c r="N26" s="2351"/>
      <c r="O26" s="2351" t="str">
        <f>'Part I-Project Information'!$O$15</f>
        <v>2017-019</v>
      </c>
      <c r="P26" s="2351"/>
    </row>
    <row r="27" spans="1:16">
      <c r="A27" s="2349"/>
      <c r="B27" s="2351" t="s">
        <v>3824</v>
      </c>
      <c r="C27" s="2351"/>
      <c r="D27" s="2351"/>
      <c r="E27" s="2351"/>
      <c r="F27" s="2366" t="str">
        <f>'Part I-Project Information'!F16</f>
        <v>No</v>
      </c>
      <c r="G27" s="2351" t="s">
        <v>3881</v>
      </c>
      <c r="H27" s="2356"/>
      <c r="I27" s="2357"/>
      <c r="J27" s="2359"/>
      <c r="K27" s="2351"/>
      <c r="L27" s="2351"/>
      <c r="M27" s="2368" t="str">
        <f>'Part I-Project Information'!M16</f>
        <v>Qualified w/out Conditions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3909</v>
      </c>
      <c r="C31" s="2351"/>
      <c r="D31" s="2351"/>
      <c r="E31" s="2351"/>
      <c r="F31" s="2351" t="str">
        <f>'Part I-Project Information'!F20</f>
        <v>Landbridge Development</v>
      </c>
      <c r="G31" s="2351">
        <f>'Part I-Project Information'!G20</f>
        <v>0</v>
      </c>
      <c r="H31" s="2351">
        <f>'Part I-Project Information'!H20</f>
        <v>0</v>
      </c>
      <c r="I31" s="2351" t="s">
        <v>1810</v>
      </c>
      <c r="J31" s="2351" t="str">
        <f>'Part I-Project Information'!J20</f>
        <v>D'Anne Hilsmier</v>
      </c>
      <c r="K31" s="2351">
        <f>'Part I-Project Information'!K20</f>
        <v>0</v>
      </c>
      <c r="L31" s="2351">
        <f>'Part I-Project Information'!L20</f>
        <v>0</v>
      </c>
      <c r="M31" s="2359" t="s">
        <v>1996</v>
      </c>
      <c r="N31" s="2351" t="str">
        <f>'Part I-Project Information'!N20</f>
        <v>Application Manager</v>
      </c>
      <c r="O31" s="2351">
        <f>'Part I-Project Information'!O20</f>
        <v>0</v>
      </c>
      <c r="P31" s="2351">
        <f>'Part I-Project Information'!P20</f>
        <v>0</v>
      </c>
    </row>
    <row r="32" spans="1:16" ht="12.75" customHeight="1">
      <c r="A32" s="2351"/>
      <c r="B32" s="2359" t="s">
        <v>1997</v>
      </c>
      <c r="C32" s="2351"/>
      <c r="D32" s="2351"/>
      <c r="E32" s="2351"/>
      <c r="F32" s="2351" t="str">
        <f>'Part I-Project Information'!F21</f>
        <v>7000 Peachtree Dunwoody Road NE, Suite 4-100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3908</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303281636</v>
      </c>
      <c r="G34" s="2371">
        <f>'Part I-Project Information'!G23</f>
        <v>0</v>
      </c>
      <c r="H34" s="2371">
        <f>'Part I-Project Information'!H23</f>
        <v>0</v>
      </c>
      <c r="I34" s="2359" t="s">
        <v>1733</v>
      </c>
      <c r="J34" s="2372">
        <f>'Part I-Project Information'!J23</f>
        <v>7704810855</v>
      </c>
      <c r="K34" s="2372">
        <f>'Part I-Project Information'!K23</f>
        <v>0</v>
      </c>
      <c r="L34" s="2356" t="s">
        <v>1732</v>
      </c>
      <c r="M34" s="2356">
        <f>'Part I-Project Information'!M23</f>
        <v>302</v>
      </c>
      <c r="N34" s="2359" t="s">
        <v>1734</v>
      </c>
      <c r="O34" s="2372">
        <f>'Part I-Project Information'!O23</f>
        <v>6786384181</v>
      </c>
      <c r="P34" s="2372">
        <f>'Part I-Project Information'!P23</f>
        <v>0</v>
      </c>
    </row>
    <row r="35" spans="1:16">
      <c r="A35" s="2351"/>
      <c r="B35" s="2359" t="s">
        <v>2000</v>
      </c>
      <c r="C35" s="2351"/>
      <c r="D35" s="2351"/>
      <c r="E35" s="2351"/>
      <c r="F35" s="2351" t="str">
        <f>'Part I-Project Information'!F24</f>
        <v>d_anne@grhco.com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7703109311</v>
      </c>
      <c r="P35" s="2372">
        <f>'Part I-Project Information'!P24</f>
        <v>0</v>
      </c>
    </row>
    <row r="36" spans="1:16">
      <c r="A36" s="2349"/>
      <c r="B36" s="2348" t="s">
        <v>4109</v>
      </c>
      <c r="C36" s="2358"/>
      <c r="D36" s="2351"/>
      <c r="E36" s="2351"/>
      <c r="F36" s="2351"/>
      <c r="G36" s="2351"/>
      <c r="H36" s="2356"/>
      <c r="I36" s="2351"/>
      <c r="J36" s="2358"/>
      <c r="K36" s="2351"/>
      <c r="L36" s="2351"/>
      <c r="M36" s="2351"/>
      <c r="N36" s="2351"/>
      <c r="O36" s="2351"/>
      <c r="P36" s="2373"/>
    </row>
    <row r="37" spans="1:16">
      <c r="A37" s="2351"/>
      <c r="B37" s="2351" t="s">
        <v>3909</v>
      </c>
      <c r="C37" s="2351"/>
      <c r="D37" s="2351"/>
      <c r="E37" s="2351"/>
      <c r="F37" s="2351" t="str">
        <f>'Part I-Project Information'!F26</f>
        <v>Landbridge Development</v>
      </c>
      <c r="G37" s="2351">
        <f>'Part I-Project Information'!G26</f>
        <v>0</v>
      </c>
      <c r="H37" s="2351">
        <f>'Part I-Project Information'!H26</f>
        <v>0</v>
      </c>
      <c r="I37" s="2351" t="s">
        <v>1810</v>
      </c>
      <c r="J37" s="2351" t="str">
        <f>'Part I-Project Information'!J26</f>
        <v>Gary R. Hammond, Jr.</v>
      </c>
      <c r="K37" s="2351">
        <f>'Part I-Project Information'!K26</f>
        <v>0</v>
      </c>
      <c r="L37" s="2351">
        <f>'Part I-Project Information'!L26</f>
        <v>0</v>
      </c>
      <c r="M37" s="2359" t="s">
        <v>1996</v>
      </c>
      <c r="N37" s="2351" t="str">
        <f>'Part I-Project Information'!N26</f>
        <v>Principal</v>
      </c>
      <c r="O37" s="2351">
        <f>'Part I-Project Information'!O26</f>
        <v>0</v>
      </c>
      <c r="P37" s="2351">
        <f>'Part I-Project Information'!P26</f>
        <v>0</v>
      </c>
    </row>
    <row r="38" spans="1:16" ht="12.75" customHeight="1">
      <c r="A38" s="2351"/>
      <c r="B38" s="2359" t="s">
        <v>1997</v>
      </c>
      <c r="C38" s="2351"/>
      <c r="D38" s="2351"/>
      <c r="E38" s="2351"/>
      <c r="F38" s="2351" t="str">
        <f>'Part I-Project Information'!F27</f>
        <v>7000 Peachtree Dunwoody Road NE, Suite 4-100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3908</v>
      </c>
      <c r="N38" s="2369"/>
      <c r="O38" s="2369"/>
      <c r="P38" s="2369"/>
    </row>
    <row r="39" spans="1:16" ht="12.75" customHeight="1">
      <c r="A39" s="2351"/>
      <c r="B39" s="2359" t="s">
        <v>624</v>
      </c>
      <c r="C39" s="2351"/>
      <c r="D39" s="2351"/>
      <c r="E39" s="2351"/>
      <c r="F39" s="2351" t="str">
        <f>'Part I-Project Information'!F28</f>
        <v>Atlanta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303281636</v>
      </c>
      <c r="G40" s="2371">
        <f>'Part I-Project Information'!G29</f>
        <v>0</v>
      </c>
      <c r="H40" s="2371">
        <f>'Part I-Project Information'!H29</f>
        <v>0</v>
      </c>
      <c r="I40" s="2359" t="s">
        <v>1733</v>
      </c>
      <c r="J40" s="2372">
        <f>'Part I-Project Information'!J29</f>
        <v>7704810855</v>
      </c>
      <c r="K40" s="2372">
        <f>'Part I-Project Information'!K29</f>
        <v>0</v>
      </c>
      <c r="L40" s="2356" t="s">
        <v>1732</v>
      </c>
      <c r="M40" s="2356">
        <f>'Part I-Project Information'!M29</f>
        <v>100</v>
      </c>
      <c r="N40" s="2359" t="s">
        <v>1734</v>
      </c>
      <c r="O40" s="2372">
        <f>'Part I-Project Information'!O29</f>
        <v>7704810853</v>
      </c>
      <c r="P40" s="2372">
        <f>'Part I-Project Information'!P29</f>
        <v>0</v>
      </c>
    </row>
    <row r="41" spans="1:16">
      <c r="A41" s="2351"/>
      <c r="B41" s="2359" t="s">
        <v>2000</v>
      </c>
      <c r="C41" s="2351"/>
      <c r="D41" s="2351"/>
      <c r="E41" s="2351"/>
      <c r="F41" s="2351" t="str">
        <f>'Part I-Project Information'!F30</f>
        <v>grh@grhco.com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4045430855</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Peaks of Cartersville</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TBD N. Tennessee Street</v>
      </c>
      <c r="G46" s="2351">
        <f>'Part I-Project Information'!G35</f>
        <v>0</v>
      </c>
      <c r="H46" s="2351">
        <f>'Part I-Project Information'!H35</f>
        <v>0</v>
      </c>
      <c r="I46" s="2351">
        <f>'Part I-Project Information'!I35</f>
        <v>0</v>
      </c>
      <c r="J46" s="2351">
        <f>'Part I-Project Information'!J35</f>
        <v>0</v>
      </c>
      <c r="K46" s="2351">
        <f>'Part I-Project Information'!K35</f>
        <v>0</v>
      </c>
      <c r="L46" s="2351" t="s">
        <v>3708</v>
      </c>
      <c r="M46" s="2351"/>
      <c r="N46" s="2351"/>
      <c r="O46" s="2351">
        <f>'Part I-Project Information'!O35</f>
        <v>0</v>
      </c>
      <c r="P46" s="2351">
        <f>'Part I-Project Information'!P35</f>
        <v>0</v>
      </c>
    </row>
    <row r="47" spans="1:16">
      <c r="A47" s="2354"/>
      <c r="B47" s="2351" t="s">
        <v>4762</v>
      </c>
      <c r="C47" s="2351"/>
      <c r="D47" s="2362"/>
      <c r="E47" s="2351"/>
      <c r="F47" s="2351" t="str">
        <f>'Part I-Project Information'!F36</f>
        <v>640 N. Tennessee Street</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3707</v>
      </c>
      <c r="P47" s="2356">
        <f>'Part I-Project Information'!P36</f>
        <v>0</v>
      </c>
    </row>
    <row r="48" spans="1:16">
      <c r="A48" s="2354"/>
      <c r="B48" s="2351" t="s">
        <v>3763</v>
      </c>
      <c r="C48" s="2351"/>
      <c r="D48" s="2362"/>
      <c r="E48" s="2351"/>
      <c r="F48" s="2351" t="s">
        <v>3743</v>
      </c>
      <c r="G48" s="2374">
        <f>'Part I-Project Information'!G37</f>
        <v>34.180038000000003</v>
      </c>
      <c r="H48" s="2374">
        <f>'Part I-Project Information'!H37</f>
        <v>0</v>
      </c>
      <c r="I48" s="2356" t="s">
        <v>3744</v>
      </c>
      <c r="J48" s="2374">
        <f>'Part I-Project Information'!J37</f>
        <v>-84.793854999999994</v>
      </c>
      <c r="K48" s="2374">
        <f>'Part I-Project Information'!K37</f>
        <v>0</v>
      </c>
      <c r="L48" s="2359" t="s">
        <v>2299</v>
      </c>
      <c r="M48" s="2351"/>
      <c r="N48" s="2351"/>
      <c r="O48" s="2375">
        <f>'Part I-Project Information'!O37</f>
        <v>5.8739999999999997</v>
      </c>
      <c r="P48" s="2375">
        <f>'Part I-Project Information'!P37</f>
        <v>0</v>
      </c>
    </row>
    <row r="49" spans="1:16" ht="16.5">
      <c r="A49" s="2349"/>
      <c r="B49" s="2351" t="s">
        <v>624</v>
      </c>
      <c r="C49" s="2351"/>
      <c r="D49" s="2351"/>
      <c r="E49" s="2351"/>
      <c r="F49" s="2351" t="str">
        <f>'Part I-Project Information'!F38</f>
        <v>Cartersville</v>
      </c>
      <c r="G49" s="2351">
        <f>'Part I-Project Information'!G38</f>
        <v>0</v>
      </c>
      <c r="H49" s="2351">
        <f>'Part I-Project Information'!H38</f>
        <v>0</v>
      </c>
      <c r="I49" s="2376" t="s">
        <v>4763</v>
      </c>
      <c r="J49" s="2371">
        <f>'Part I-Project Information'!J38</f>
        <v>301202858</v>
      </c>
      <c r="K49" s="2371">
        <f>'Part I-Project Information'!K38</f>
        <v>0</v>
      </c>
      <c r="L49" s="2348" t="str">
        <f>IF(AND(NOT(F45=""),NOT(F49="Select from list"),J49=""),"Enter Zip!","")</f>
        <v/>
      </c>
      <c r="M49" s="2377" t="s">
        <v>2926</v>
      </c>
      <c r="N49" s="2351"/>
      <c r="O49" s="2378" t="str">
        <f>'Part I-Project Information'!O38</f>
        <v>9607</v>
      </c>
      <c r="P49" s="2379">
        <f>'Part I-Project Information'!P38</f>
        <v>0</v>
      </c>
    </row>
    <row r="50" spans="1:16">
      <c r="A50" s="2349"/>
      <c r="B50" s="2351" t="s">
        <v>3592</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Bartow</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Yes</v>
      </c>
      <c r="G51" s="2351" t="s">
        <v>2799</v>
      </c>
      <c r="H51" s="2351"/>
      <c r="I51" s="2356" t="str">
        <f>'Part I-Project Information'!I40</f>
        <v>No</v>
      </c>
      <c r="J51" s="2356" t="s">
        <v>2819</v>
      </c>
      <c r="K51" s="2356" t="str">
        <f>'Part I-Project Information'!K40</f>
        <v>Rural</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4764</v>
      </c>
      <c r="D53" s="2351"/>
      <c r="E53" s="2351"/>
      <c r="F53" s="2382" t="s">
        <v>2780</v>
      </c>
      <c r="G53" s="2382"/>
      <c r="H53" s="2351" t="s">
        <v>744</v>
      </c>
      <c r="I53" s="2351"/>
      <c r="J53" s="2351" t="s">
        <v>745</v>
      </c>
      <c r="K53" s="2351"/>
      <c r="L53" s="2383" t="s">
        <v>4538</v>
      </c>
      <c r="M53" s="2351"/>
      <c r="N53" s="2351"/>
      <c r="O53" s="2351"/>
      <c r="P53" s="2351"/>
    </row>
    <row r="54" spans="1:16">
      <c r="A54" s="2349"/>
      <c r="B54" s="2351" t="s">
        <v>4765</v>
      </c>
      <c r="C54" s="2351"/>
      <c r="D54" s="2348"/>
      <c r="E54" s="2351"/>
      <c r="F54" s="2384">
        <f>'Part I-Project Information'!F43</f>
        <v>11</v>
      </c>
      <c r="G54" s="2384">
        <f>'Part I-Project Information'!G43</f>
        <v>0</v>
      </c>
      <c r="H54" s="2384">
        <f>'Part I-Project Information'!H43</f>
        <v>14</v>
      </c>
      <c r="I54" s="2384">
        <f>'Part I-Project Information'!I43</f>
        <v>0</v>
      </c>
      <c r="J54" s="2384">
        <f>'Part I-Project Information'!J43</f>
        <v>14</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Cartersville</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www.cityofcartersville.org</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Matt Santini</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11 N. Erwin Street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Cartersville</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301200000</v>
      </c>
      <c r="G60" s="2371">
        <f>'Part I-Project Information'!G49</f>
        <v>0</v>
      </c>
      <c r="H60" s="2356" t="s">
        <v>1998</v>
      </c>
      <c r="I60" s="2372">
        <f>'Part I-Project Information'!I49</f>
        <v>7703875686</v>
      </c>
      <c r="J60" s="2372">
        <f>'Part I-Project Information'!J49</f>
        <v>0</v>
      </c>
      <c r="K60" s="2372">
        <f>'Part I-Project Information'!K49</f>
        <v>0</v>
      </c>
      <c r="L60" s="2359" t="s">
        <v>1813</v>
      </c>
      <c r="M60" s="2387" t="str">
        <f>'Part I-Project Information'!M49</f>
        <v>cartersvillemayor@yahoo.com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4766</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72</v>
      </c>
      <c r="I66" s="2358"/>
      <c r="J66" s="2358"/>
      <c r="K66" s="2359" t="s">
        <v>3699</v>
      </c>
      <c r="L66" s="2351"/>
      <c r="M66" s="2392" t="s">
        <v>3698</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62</v>
      </c>
      <c r="I73" s="2400">
        <f>SUM(I74:I75)</f>
        <v>0</v>
      </c>
      <c r="J73" s="2349"/>
      <c r="K73" s="2358" t="s">
        <v>2791</v>
      </c>
      <c r="L73" s="2351"/>
      <c r="M73" s="2351"/>
      <c r="N73" s="2351"/>
      <c r="O73" s="2351"/>
      <c r="P73" s="2400">
        <f>'Part VI-Revenues &amp; Expenses'!$O$115</f>
        <v>54912</v>
      </c>
    </row>
    <row r="74" spans="1:16">
      <c r="A74" s="2349"/>
      <c r="B74" s="2358"/>
      <c r="C74" s="2351"/>
      <c r="D74" s="2382" t="s">
        <v>387</v>
      </c>
      <c r="E74" s="2351"/>
      <c r="F74" s="2351"/>
      <c r="G74" s="2351"/>
      <c r="H74" s="2400">
        <f>'Part VI-Revenues &amp; Expenses'!$O$57</f>
        <v>15</v>
      </c>
      <c r="I74" s="2400">
        <f>'Part VI-Revenues &amp; Expenses'!$O$65</f>
        <v>0</v>
      </c>
      <c r="J74" s="2351"/>
      <c r="K74" s="2358" t="s">
        <v>2792</v>
      </c>
      <c r="L74" s="2351"/>
      <c r="M74" s="2351"/>
      <c r="N74" s="2351"/>
      <c r="O74" s="2351"/>
      <c r="P74" s="2400">
        <f>'Part VI-Revenues &amp; Expenses'!$O$116</f>
        <v>8910</v>
      </c>
    </row>
    <row r="75" spans="1:16">
      <c r="A75" s="2349"/>
      <c r="B75" s="2351"/>
      <c r="C75" s="2351"/>
      <c r="D75" s="2382" t="s">
        <v>1835</v>
      </c>
      <c r="E75" s="2382"/>
      <c r="F75" s="2351"/>
      <c r="G75" s="2351"/>
      <c r="H75" s="2400">
        <f>'Part VI-Revenues &amp; Expenses'!$O$56</f>
        <v>47</v>
      </c>
      <c r="I75" s="2400">
        <f>'Part VI-Revenues &amp; Expenses'!$O$64</f>
        <v>0</v>
      </c>
      <c r="J75" s="2351"/>
      <c r="K75" s="2358" t="s">
        <v>2793</v>
      </c>
      <c r="L75" s="2351"/>
      <c r="M75" s="2351"/>
      <c r="N75" s="2351"/>
      <c r="O75" s="2351"/>
      <c r="P75" s="2400">
        <f>P73+P74</f>
        <v>63822</v>
      </c>
    </row>
    <row r="76" spans="1:16">
      <c r="A76" s="2349"/>
      <c r="B76" s="2351"/>
      <c r="C76" s="2358" t="s">
        <v>255</v>
      </c>
      <c r="D76" s="2351"/>
      <c r="E76" s="2351"/>
      <c r="F76" s="2351"/>
      <c r="G76" s="2351"/>
      <c r="H76" s="2400">
        <f>'Part VI-Revenues &amp; Expenses'!$O$59</f>
        <v>10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72</v>
      </c>
      <c r="I77" s="2351"/>
      <c r="J77" s="2349"/>
      <c r="K77" s="2358" t="s">
        <v>1432</v>
      </c>
      <c r="L77" s="2351"/>
      <c r="M77" s="2351"/>
      <c r="N77" s="2351"/>
      <c r="O77" s="2351"/>
      <c r="P77" s="2400">
        <f>+P75+P76</f>
        <v>63822</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72</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2</v>
      </c>
      <c r="I81" s="2351"/>
      <c r="J81" s="2351"/>
      <c r="K81" s="2358" t="s">
        <v>4099</v>
      </c>
      <c r="L81" s="2351"/>
      <c r="M81" s="2351"/>
      <c r="N81" s="2351"/>
      <c r="O81" s="2351"/>
      <c r="P81" s="2400">
        <f>'Part I-Project Information'!P70</f>
        <v>3798</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67620</v>
      </c>
    </row>
    <row r="83" spans="1:16">
      <c r="A83" s="2349"/>
      <c r="B83" s="2349"/>
      <c r="C83" s="2351"/>
      <c r="D83" s="2370" t="s">
        <v>2014</v>
      </c>
      <c r="E83" s="2351"/>
      <c r="F83" s="2351"/>
      <c r="G83" s="2351"/>
      <c r="H83" s="2400">
        <f>+H81+H82</f>
        <v>3</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144</v>
      </c>
      <c r="I85" s="2351"/>
      <c r="J85" s="2351"/>
      <c r="K85" s="2347" t="s">
        <v>3882</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4767</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3903</v>
      </c>
      <c r="I91" s="2347"/>
      <c r="J91" s="2351"/>
      <c r="K91" s="2403" t="s">
        <v>2932</v>
      </c>
      <c r="L91" s="2400">
        <f>'Part I-Project Information'!L80</f>
        <v>0</v>
      </c>
      <c r="M91" s="2403" t="s">
        <v>2933</v>
      </c>
      <c r="N91" s="2400">
        <f>'Part I-Project Information'!N80</f>
        <v>0</v>
      </c>
      <c r="O91" s="2351"/>
      <c r="P91" s="2362" t="s">
        <v>3905</v>
      </c>
    </row>
    <row r="92" spans="1:16">
      <c r="A92" s="2349"/>
      <c r="B92" s="2349"/>
      <c r="C92" s="2351"/>
      <c r="D92" s="2359"/>
      <c r="E92" s="2402"/>
      <c r="F92" s="2351"/>
      <c r="G92" s="2351"/>
      <c r="H92" s="2347"/>
      <c r="I92" s="2347"/>
      <c r="J92" s="2351"/>
      <c r="K92" s="2362" t="s">
        <v>2934</v>
      </c>
      <c r="L92" s="2400">
        <f>'Part I-Project Information'!L81</f>
        <v>72</v>
      </c>
      <c r="M92" s="2362" t="s">
        <v>3904</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5.5555555555555552E-2</v>
      </c>
      <c r="O94" s="2362" t="s">
        <v>3722</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3722</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3722</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Yes</v>
      </c>
      <c r="I107" s="2351"/>
      <c r="J107" s="2351"/>
      <c r="K107" s="2382" t="s">
        <v>3927</v>
      </c>
      <c r="L107" s="2356">
        <f>'Part I-Project Information'!L96</f>
        <v>0</v>
      </c>
      <c r="M107" s="2351"/>
      <c r="N107" s="2351"/>
      <c r="O107" s="2362" t="s">
        <v>3921</v>
      </c>
      <c r="P107" s="2356">
        <f>'Part I-Project Information'!P96</f>
        <v>0</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t="str">
        <f>'Part I-Project Information'!H98</f>
        <v>No</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3689</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1403885</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Resource Housing Group, Inc.</v>
      </c>
      <c r="D131" s="2363">
        <f>'Part I-Project Information'!D120</f>
        <v>0</v>
      </c>
      <c r="E131" s="2363">
        <f>'Part I-Project Information'!E120</f>
        <v>0</v>
      </c>
      <c r="F131" s="2363" t="str">
        <f>'Part I-Project Information'!F120</f>
        <v>Waynesboro Senior Homes (aka Waynesborough Academy II)</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Gary R. Hammond, Jr.</v>
      </c>
      <c r="D132" s="2363">
        <f>'Part I-Project Information'!D121</f>
        <v>0</v>
      </c>
      <c r="E132" s="2363">
        <f>'Part I-Project Information'!E121</f>
        <v>0</v>
      </c>
      <c r="F132" s="2363" t="str">
        <f>'Part I-Project Information'!F121</f>
        <v>Waynesboro Senior Homes (aka Waynesborough Academy II)</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t="str">
        <f>'Part I-Project Information'!I140</f>
        <v>No</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4768</v>
      </c>
      <c r="D161" s="2370"/>
      <c r="E161" s="2370"/>
      <c r="F161" s="2356"/>
      <c r="G161" s="2356"/>
      <c r="H161" s="2351"/>
      <c r="I161" s="2376" t="str">
        <f>'Part I-Project Information'!I150</f>
        <v>No</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4769</v>
      </c>
      <c r="D168" s="2351"/>
      <c r="E168" s="2351"/>
      <c r="F168" s="2351"/>
      <c r="G168" s="2351"/>
      <c r="H168" s="2400">
        <f>'Part I-Project Information'!H157</f>
        <v>0</v>
      </c>
      <c r="I168" s="2357"/>
      <c r="J168" s="2415" t="s">
        <v>3752</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f>'Part I-Project Information'!I163</f>
        <v>0</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Yes</v>
      </c>
      <c r="J176" s="2382" t="s">
        <v>769</v>
      </c>
      <c r="K176" s="2382"/>
      <c r="L176" s="2376">
        <f>'Part I-Project Information'!L165</f>
        <v>2035</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Yes</v>
      </c>
      <c r="J180" s="2418" t="s">
        <v>2771</v>
      </c>
      <c r="K180" s="2351"/>
      <c r="L180" s="2382" t="s">
        <v>4770</v>
      </c>
      <c r="M180" s="2382"/>
      <c r="N180" s="2402"/>
      <c r="O180" s="2402"/>
      <c r="P180" s="2400">
        <f>'Part I-Project Information'!P169</f>
        <v>2</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1</v>
      </c>
    </row>
    <row r="182" spans="1:16">
      <c r="A182" s="2349"/>
      <c r="B182" s="2349"/>
      <c r="C182" s="2351"/>
      <c r="D182" s="2351"/>
      <c r="E182" s="2351"/>
      <c r="F182" s="2351"/>
      <c r="G182" s="2351"/>
      <c r="H182" s="2351"/>
      <c r="I182" s="2351"/>
      <c r="J182" s="2351"/>
      <c r="K182" s="2351"/>
      <c r="L182" s="2351" t="s">
        <v>1804</v>
      </c>
      <c r="M182" s="2351"/>
      <c r="N182" s="2402"/>
      <c r="O182" s="2402"/>
      <c r="P182" s="2419">
        <f>IF(P180="","",P181/P180)</f>
        <v>0.5</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43982</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The Project Team submitted a pre-application Request for Qualification and recived a Qualified w/out Conditions Determination Letter dated April 30, 2018.</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2018-035 Peaks of Cartersville,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4514</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4311</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Peaks of Cartersville,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Chase Northcutt</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1819 Peachtree Road NE, Suite 520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President of Manager of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4043642937</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303091851</v>
      </c>
      <c r="K211" s="2371">
        <f>'Part II-Development Team'!K8</f>
        <v>0</v>
      </c>
      <c r="L211" s="2351" t="s">
        <v>3714</v>
      </c>
      <c r="M211" s="2351" t="str">
        <f>'Part II-Development Team'!M8</f>
        <v>Joint Venture</v>
      </c>
      <c r="N211" s="2351">
        <f>'Part II-Development Team'!N8</f>
        <v>0</v>
      </c>
      <c r="O211" s="2359" t="s">
        <v>1995</v>
      </c>
      <c r="P211" s="2351"/>
      <c r="Q211" s="2372">
        <f>'Part II-Development Team'!Q8</f>
        <v>7702625017</v>
      </c>
      <c r="R211" s="2372">
        <f>'Part II-Development Team'!R8</f>
        <v>0</v>
      </c>
      <c r="S211" s="2372">
        <f>'Part II-Development Team'!S8</f>
        <v>0</v>
      </c>
    </row>
    <row r="212" spans="1:19">
      <c r="A212" s="2351"/>
      <c r="B212" s="2351"/>
      <c r="C212" s="2351"/>
      <c r="D212" s="2424"/>
      <c r="E212" s="2359" t="s">
        <v>4312</v>
      </c>
      <c r="F212" s="2351"/>
      <c r="G212" s="2351"/>
      <c r="H212" s="2372">
        <f>'Part II-Development Team'!H9</f>
        <v>4043642900</v>
      </c>
      <c r="I212" s="2372">
        <f>'Part II-Development Team'!I9</f>
        <v>0</v>
      </c>
      <c r="J212" s="2376">
        <f>'Part II-Development Team'!J9</f>
        <v>0</v>
      </c>
      <c r="K212" s="2356" t="s">
        <v>2000</v>
      </c>
      <c r="L212" s="2367" t="str">
        <f>'Part II-Development Team'!L9</f>
        <v>cnorthcutt@rhgroup.org</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4311</v>
      </c>
      <c r="F213" s="2351"/>
      <c r="G213" s="2351"/>
      <c r="H213" s="2416"/>
      <c r="I213" s="2351"/>
      <c r="J213" s="2351"/>
      <c r="K213" s="2363"/>
      <c r="L213" s="2351"/>
      <c r="M213" s="2351"/>
      <c r="N213" s="2348" t="s">
        <v>4539</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Peaks of Cartersville GP,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Chase Northcutt</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1819 Peachtree Road NE, Suite 520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President of Managing Member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v>
      </c>
      <c r="I219" s="2351">
        <f>'Part II-Development Team'!I16</f>
        <v>0</v>
      </c>
      <c r="J219" s="2351">
        <f>'Part II-Development Team'!J16</f>
        <v>0</v>
      </c>
      <c r="K219" s="2356" t="s">
        <v>2722</v>
      </c>
      <c r="L219" s="2351">
        <f>'Part II-Development Team'!L16</f>
        <v>0</v>
      </c>
      <c r="M219" s="2351">
        <f>'Part II-Development Team'!M16</f>
        <v>0</v>
      </c>
      <c r="N219" s="2351">
        <f>'Part II-Development Team'!N16</f>
        <v>0</v>
      </c>
      <c r="O219" s="2359" t="s">
        <v>1734</v>
      </c>
      <c r="P219" s="2351"/>
      <c r="Q219" s="2372">
        <f>'Part II-Development Team'!Q16</f>
        <v>4043642937</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303091851</v>
      </c>
      <c r="M220" s="2371">
        <f>'Part II-Development Team'!M17</f>
        <v>0</v>
      </c>
      <c r="N220" s="2351"/>
      <c r="O220" s="2359" t="s">
        <v>1995</v>
      </c>
      <c r="P220" s="2351"/>
      <c r="Q220" s="2372">
        <f>'Part II-Development Team'!Q17</f>
        <v>7702625017</v>
      </c>
      <c r="R220" s="2372">
        <f>'Part II-Development Team'!R17</f>
        <v>0</v>
      </c>
      <c r="S220" s="2372">
        <f>'Part II-Development Team'!S17</f>
        <v>0</v>
      </c>
    </row>
    <row r="221" spans="1:19">
      <c r="A221" s="2351"/>
      <c r="B221" s="2351"/>
      <c r="C221" s="2351"/>
      <c r="D221" s="2424"/>
      <c r="E221" s="2359" t="s">
        <v>4312</v>
      </c>
      <c r="F221" s="2351"/>
      <c r="G221" s="2351"/>
      <c r="H221" s="2372">
        <f>'Part II-Development Team'!H18</f>
        <v>4043642900</v>
      </c>
      <c r="I221" s="2372">
        <f>'Part II-Development Team'!I18</f>
        <v>0</v>
      </c>
      <c r="J221" s="2376">
        <f>'Part II-Development Team'!J18</f>
        <v>0</v>
      </c>
      <c r="K221" s="2356" t="s">
        <v>2000</v>
      </c>
      <c r="L221" s="2367" t="str">
        <f>'Part II-Development Team'!L18</f>
        <v>cnorthcutt@rhgroup.org</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t="str">
        <f>'Part II-Development Team'!H20</f>
        <v>Not Applicable</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4312</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t="str">
        <f>'Part II-Development Team'!H26</f>
        <v>Not Applicable</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4312</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4311</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Affordable Equity Partners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Kimes</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206 Peach 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2722</v>
      </c>
      <c r="L238" s="2351" t="str">
        <f>'Part II-Development Team'!L35</f>
        <v>www.aepartners.com</v>
      </c>
      <c r="M238" s="2351">
        <f>'Part II-Development Team'!M35</f>
        <v>0</v>
      </c>
      <c r="N238" s="2351">
        <f>'Part II-Development Team'!N35</f>
        <v>0</v>
      </c>
      <c r="O238" s="2359" t="s">
        <v>1734</v>
      </c>
      <c r="P238" s="2351"/>
      <c r="Q238" s="2372">
        <f>'Part II-Development Team'!Q35</f>
        <v>0</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MO</v>
      </c>
      <c r="I239" s="2351"/>
      <c r="J239" s="2351"/>
      <c r="K239" s="2356" t="s">
        <v>2245</v>
      </c>
      <c r="L239" s="2371">
        <f>'Part II-Development Team'!L36</f>
        <v>652034905</v>
      </c>
      <c r="M239" s="2371">
        <f>'Part II-Development Team'!M36</f>
        <v>0</v>
      </c>
      <c r="N239" s="2351"/>
      <c r="O239" s="2359" t="s">
        <v>1995</v>
      </c>
      <c r="P239" s="2351"/>
      <c r="Q239" s="2372">
        <f>'Part II-Development Team'!Q36</f>
        <v>5734248811</v>
      </c>
      <c r="R239" s="2372">
        <f>'Part II-Development Team'!R36</f>
        <v>0</v>
      </c>
      <c r="S239" s="2372">
        <f>'Part II-Development Team'!S36</f>
        <v>0</v>
      </c>
    </row>
    <row r="240" spans="1:19">
      <c r="A240" s="2351"/>
      <c r="B240" s="2351"/>
      <c r="C240" s="2351"/>
      <c r="D240" s="2424"/>
      <c r="E240" s="2359" t="s">
        <v>4312</v>
      </c>
      <c r="F240" s="2351"/>
      <c r="G240" s="2351"/>
      <c r="H240" s="2372">
        <f>'Part II-Development Team'!H37</f>
        <v>5734432021</v>
      </c>
      <c r="I240" s="2372">
        <f>'Part II-Development Team'!I37</f>
        <v>0</v>
      </c>
      <c r="J240" s="2376">
        <f>'Part II-Development Team'!J37</f>
        <v>0</v>
      </c>
      <c r="K240" s="2356" t="s">
        <v>2000</v>
      </c>
      <c r="L240" s="2367" t="str">
        <f>'Part II-Development Team'!L37</f>
        <v>bkimes@aepartners.com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Affordable Equity Partners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Kimes</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206 Peach 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2722</v>
      </c>
      <c r="L244" s="2351" t="str">
        <f>'Part II-Development Team'!L41</f>
        <v>www.aepartners.com</v>
      </c>
      <c r="M244" s="2351">
        <f>'Part II-Development Team'!M41</f>
        <v>0</v>
      </c>
      <c r="N244" s="2351">
        <f>'Part II-Development Team'!N41</f>
        <v>0</v>
      </c>
      <c r="O244" s="2359" t="s">
        <v>1734</v>
      </c>
      <c r="P244" s="2351"/>
      <c r="Q244" s="2372">
        <f>'Part II-Development Team'!Q41</f>
        <v>0</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MO</v>
      </c>
      <c r="I245" s="2351"/>
      <c r="J245" s="2351"/>
      <c r="K245" s="2356" t="s">
        <v>2245</v>
      </c>
      <c r="L245" s="2371">
        <f>'Part II-Development Team'!L42</f>
        <v>652034905</v>
      </c>
      <c r="M245" s="2371">
        <f>'Part II-Development Team'!M42</f>
        <v>0</v>
      </c>
      <c r="N245" s="2351"/>
      <c r="O245" s="2359" t="s">
        <v>1995</v>
      </c>
      <c r="P245" s="2351"/>
      <c r="Q245" s="2372">
        <f>'Part II-Development Team'!Q42</f>
        <v>5734248811</v>
      </c>
      <c r="R245" s="2372">
        <f>'Part II-Development Team'!R42</f>
        <v>0</v>
      </c>
      <c r="S245" s="2372">
        <f>'Part II-Development Team'!S42</f>
        <v>0</v>
      </c>
    </row>
    <row r="246" spans="1:19">
      <c r="A246" s="2351"/>
      <c r="B246" s="2351"/>
      <c r="C246" s="2351"/>
      <c r="D246" s="2424"/>
      <c r="E246" s="2359" t="s">
        <v>4312</v>
      </c>
      <c r="F246" s="2351"/>
      <c r="G246" s="2351"/>
      <c r="H246" s="2372">
        <f>'Part II-Development Team'!H43</f>
        <v>5734432021</v>
      </c>
      <c r="I246" s="2372">
        <f>'Part II-Development Team'!I43</f>
        <v>0</v>
      </c>
      <c r="J246" s="2376">
        <f>'Part II-Development Team'!J43</f>
        <v>0</v>
      </c>
      <c r="K246" s="2356" t="s">
        <v>2000</v>
      </c>
      <c r="L246" s="2367" t="str">
        <f>'Part II-Development Team'!L43</f>
        <v>bkimes@aepartners.com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4311</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Resource Housing Group, Inc.</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t="str">
        <f>'Part II-Development Team'!Q46</f>
        <v>Chase Northcutt</v>
      </c>
      <c r="R249" s="2351">
        <f>'Part II-Development Team'!R46</f>
        <v>0</v>
      </c>
      <c r="S249" s="2351">
        <f>'Part II-Development Team'!S46</f>
        <v>0</v>
      </c>
    </row>
    <row r="250" spans="1:19">
      <c r="A250" s="2351"/>
      <c r="B250" s="2351"/>
      <c r="C250" s="2351"/>
      <c r="D250" s="2424"/>
      <c r="E250" s="2359" t="s">
        <v>1031</v>
      </c>
      <c r="F250" s="2362"/>
      <c r="G250" s="2351"/>
      <c r="H250" s="2351" t="str">
        <f>'Part II-Development Team'!H47</f>
        <v>1819 Peachtree Road NE, Suite 520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t="str">
        <f>'Part II-Development Team'!Q47</f>
        <v>President</v>
      </c>
      <c r="R250" s="2351">
        <f>'Part II-Development Team'!R47</f>
        <v>0</v>
      </c>
      <c r="S250" s="2351">
        <f>'Part II-Development Team'!S47</f>
        <v>0</v>
      </c>
    </row>
    <row r="251" spans="1:19">
      <c r="A251" s="2351"/>
      <c r="B251" s="2351"/>
      <c r="C251" s="2351"/>
      <c r="D251" s="2424"/>
      <c r="E251" s="2359" t="s">
        <v>624</v>
      </c>
      <c r="F251" s="2351"/>
      <c r="G251" s="2351"/>
      <c r="H251" s="2351" t="str">
        <f>'Part II-Development Team'!H48</f>
        <v>Columbia</v>
      </c>
      <c r="I251" s="2351">
        <f>'Part II-Development Team'!I48</f>
        <v>0</v>
      </c>
      <c r="J251" s="2351">
        <f>'Part II-Development Team'!J48</f>
        <v>0</v>
      </c>
      <c r="K251" s="2356" t="s">
        <v>2722</v>
      </c>
      <c r="L251" s="2351" t="str">
        <f>'Part II-Development Team'!L48</f>
        <v>www.rhgroup.org</v>
      </c>
      <c r="M251" s="2351">
        <f>'Part II-Development Team'!M48</f>
        <v>0</v>
      </c>
      <c r="N251" s="2351">
        <f>'Part II-Development Team'!N48</f>
        <v>0</v>
      </c>
      <c r="O251" s="2359" t="s">
        <v>1734</v>
      </c>
      <c r="P251" s="2351"/>
      <c r="Q251" s="2372">
        <f>'Part II-Development Team'!Q48</f>
        <v>4043642937</v>
      </c>
      <c r="R251" s="2372">
        <f>'Part II-Development Team'!R48</f>
        <v>0</v>
      </c>
      <c r="S251" s="2372">
        <f>'Part II-Development Team'!S48</f>
        <v>0</v>
      </c>
    </row>
    <row r="252" spans="1:19">
      <c r="A252" s="2351"/>
      <c r="B252" s="2351"/>
      <c r="C252" s="2351"/>
      <c r="D252" s="2351"/>
      <c r="E252" s="2359" t="s">
        <v>1812</v>
      </c>
      <c r="F252" s="2351"/>
      <c r="G252" s="2351"/>
      <c r="H252" s="2359" t="str">
        <f>'Part II-Development Team'!H49</f>
        <v>MO</v>
      </c>
      <c r="I252" s="2351"/>
      <c r="J252" s="2351"/>
      <c r="K252" s="2356" t="s">
        <v>2245</v>
      </c>
      <c r="L252" s="2371">
        <f>'Part II-Development Team'!L49</f>
        <v>303091851</v>
      </c>
      <c r="M252" s="2371">
        <f>'Part II-Development Team'!M49</f>
        <v>0</v>
      </c>
      <c r="N252" s="2351"/>
      <c r="O252" s="2359" t="s">
        <v>1995</v>
      </c>
      <c r="P252" s="2351"/>
      <c r="Q252" s="2372">
        <f>'Part II-Development Team'!Q49</f>
        <v>7702625017</v>
      </c>
      <c r="R252" s="2372">
        <f>'Part II-Development Team'!R49</f>
        <v>0</v>
      </c>
      <c r="S252" s="2372">
        <f>'Part II-Development Team'!S49</f>
        <v>0</v>
      </c>
    </row>
    <row r="253" spans="1:19">
      <c r="A253" s="2351"/>
      <c r="B253" s="2351"/>
      <c r="C253" s="2351"/>
      <c r="D253" s="2424"/>
      <c r="E253" s="2359" t="s">
        <v>4312</v>
      </c>
      <c r="F253" s="2351"/>
      <c r="G253" s="2351"/>
      <c r="H253" s="2372">
        <f>'Part II-Development Team'!H50</f>
        <v>4043642900</v>
      </c>
      <c r="I253" s="2372">
        <f>'Part II-Development Team'!I50</f>
        <v>0</v>
      </c>
      <c r="J253" s="2376">
        <f>'Part II-Development Team'!J50</f>
        <v>0</v>
      </c>
      <c r="K253" s="2356" t="s">
        <v>2000</v>
      </c>
      <c r="L253" s="2367" t="str">
        <f>'Part II-Development Team'!L50</f>
        <v>cnorthcutt@rhgroup.org</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4311</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Peaks of Cartersville Development,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Chase Northcutt</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1819 Peachtree Road NE, Suite 520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President of Managing Member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2722</v>
      </c>
      <c r="L259" s="2351">
        <f>'Part II-Development Team'!L56</f>
        <v>0</v>
      </c>
      <c r="M259" s="2351">
        <f>'Part II-Development Team'!M56</f>
        <v>0</v>
      </c>
      <c r="N259" s="2351">
        <f>'Part II-Development Team'!N56</f>
        <v>0</v>
      </c>
      <c r="O259" s="2359" t="s">
        <v>1734</v>
      </c>
      <c r="P259" s="2351"/>
      <c r="Q259" s="2372">
        <f>'Part II-Development Team'!Q56</f>
        <v>4043642937</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303091851</v>
      </c>
      <c r="M260" s="2371">
        <f>'Part II-Development Team'!M57</f>
        <v>0</v>
      </c>
      <c r="N260" s="2351"/>
      <c r="O260" s="2359" t="s">
        <v>1995</v>
      </c>
      <c r="P260" s="2351"/>
      <c r="Q260" s="2372">
        <f>'Part II-Development Team'!Q57</f>
        <v>7702625017</v>
      </c>
      <c r="R260" s="2372">
        <f>'Part II-Development Team'!R57</f>
        <v>0</v>
      </c>
      <c r="S260" s="2372">
        <f>'Part II-Development Team'!S57</f>
        <v>0</v>
      </c>
    </row>
    <row r="261" spans="1:19">
      <c r="A261" s="2351"/>
      <c r="B261" s="2351"/>
      <c r="C261" s="2351"/>
      <c r="D261" s="2424"/>
      <c r="E261" s="2359" t="s">
        <v>4312</v>
      </c>
      <c r="F261" s="2351"/>
      <c r="G261" s="2351"/>
      <c r="H261" s="2372">
        <f>'Part II-Development Team'!H58</f>
        <v>4043642900</v>
      </c>
      <c r="I261" s="2372">
        <f>'Part II-Development Team'!I58</f>
        <v>0</v>
      </c>
      <c r="J261" s="2376">
        <f>'Part II-Development Team'!J58</f>
        <v>0</v>
      </c>
      <c r="K261" s="2356" t="s">
        <v>2000</v>
      </c>
      <c r="L261" s="2367" t="str">
        <f>'Part II-Development Team'!L58</f>
        <v>cnorthcutt@rhgroup.org</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Not Applicable</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2722</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4312</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t="str">
        <f>'Part II-Development Team'!H66</f>
        <v>Not Applicable</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4312</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t="str">
        <f>'Part II-Development Team'!H72</f>
        <v>Not Applicable</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4312</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4311</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t="str">
        <f>'Part II-Development Team'!H80</f>
        <v>Not Applicable</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4312</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Fairway Construction Co.,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Steven D. Hickey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3290 Northside Parkway NW, Suite 300</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Director of Accouting and Operations</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Atlanta</v>
      </c>
      <c r="I291" s="2351">
        <f>'Part II-Development Team'!I88</f>
        <v>0</v>
      </c>
      <c r="J291" s="2351">
        <f>'Part II-Development Team'!J88</f>
        <v>0</v>
      </c>
      <c r="K291" s="2356" t="s">
        <v>2722</v>
      </c>
      <c r="L291" s="2351" t="str">
        <f>'Part II-Development Team'!L88</f>
        <v>www.fairwayconstruction.net</v>
      </c>
      <c r="M291" s="2351">
        <f>'Part II-Development Team'!M88</f>
        <v>0</v>
      </c>
      <c r="N291" s="2351">
        <f>'Part II-Development Team'!N88</f>
        <v>0</v>
      </c>
      <c r="O291" s="2359" t="s">
        <v>1734</v>
      </c>
      <c r="P291" s="2351"/>
      <c r="Q291" s="2372">
        <f>'Part II-Development Team'!Q88</f>
        <v>0</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303272245</v>
      </c>
      <c r="M292" s="2371">
        <f>'Part II-Development Team'!M89</f>
        <v>0</v>
      </c>
      <c r="N292" s="2351"/>
      <c r="O292" s="2359" t="s">
        <v>1995</v>
      </c>
      <c r="P292" s="2351"/>
      <c r="Q292" s="2372">
        <f>'Part II-Development Team'!Q89</f>
        <v>4045207495</v>
      </c>
      <c r="R292" s="2372">
        <f>'Part II-Development Team'!R89</f>
        <v>0</v>
      </c>
      <c r="S292" s="2372">
        <f>'Part II-Development Team'!S89</f>
        <v>0</v>
      </c>
    </row>
    <row r="293" spans="1:19">
      <c r="A293" s="2351"/>
      <c r="B293" s="2351"/>
      <c r="C293" s="2351"/>
      <c r="D293" s="2424"/>
      <c r="E293" s="2359" t="s">
        <v>4312</v>
      </c>
      <c r="F293" s="2351"/>
      <c r="G293" s="2351"/>
      <c r="H293" s="2372">
        <f>'Part II-Development Team'!H90</f>
        <v>4049350077</v>
      </c>
      <c r="I293" s="2372">
        <f>'Part II-Development Team'!I90</f>
        <v>0</v>
      </c>
      <c r="J293" s="2376">
        <f>'Part II-Development Team'!J90</f>
        <v>0</v>
      </c>
      <c r="K293" s="2356" t="s">
        <v>2000</v>
      </c>
      <c r="L293" s="2367" t="str">
        <f>'Part II-Development Team'!L90</f>
        <v>shickey@fairwayconstruction.net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Fairway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Ryan Stevens</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206 Peach Way</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Director of Operations</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Columbia</v>
      </c>
      <c r="I297" s="2351">
        <f>'Part II-Development Team'!I94</f>
        <v>0</v>
      </c>
      <c r="J297" s="2351">
        <f>'Part II-Development Team'!J94</f>
        <v>0</v>
      </c>
      <c r="K297" s="2356" t="s">
        <v>2722</v>
      </c>
      <c r="L297" s="2351" t="str">
        <f>'Part II-Development Team'!L94</f>
        <v>www.fairwaymanagement.com</v>
      </c>
      <c r="M297" s="2351">
        <f>'Part II-Development Team'!M94</f>
        <v>0</v>
      </c>
      <c r="N297" s="2351">
        <f>'Part II-Development Team'!N94</f>
        <v>0</v>
      </c>
      <c r="O297" s="2359" t="s">
        <v>1734</v>
      </c>
      <c r="P297" s="2351"/>
      <c r="Q297" s="2372">
        <f>'Part II-Development Team'!Q94</f>
        <v>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MO</v>
      </c>
      <c r="I298" s="2351"/>
      <c r="J298" s="2351"/>
      <c r="K298" s="2356" t="s">
        <v>2245</v>
      </c>
      <c r="L298" s="2371">
        <f>'Part II-Development Team'!L95</f>
        <v>652034905</v>
      </c>
      <c r="M298" s="2371">
        <f>'Part II-Development Team'!M95</f>
        <v>0</v>
      </c>
      <c r="N298" s="2351"/>
      <c r="O298" s="2359" t="s">
        <v>1995</v>
      </c>
      <c r="P298" s="2351"/>
      <c r="Q298" s="2372">
        <f>'Part II-Development Team'!Q95</f>
        <v>5732683474</v>
      </c>
      <c r="R298" s="2372">
        <f>'Part II-Development Team'!R95</f>
        <v>0</v>
      </c>
      <c r="S298" s="2372">
        <f>'Part II-Development Team'!S95</f>
        <v>0</v>
      </c>
    </row>
    <row r="299" spans="1:19">
      <c r="A299" s="2351"/>
      <c r="B299" s="2351"/>
      <c r="C299" s="2351"/>
      <c r="D299" s="2424"/>
      <c r="E299" s="2359" t="s">
        <v>4312</v>
      </c>
      <c r="F299" s="2351"/>
      <c r="G299" s="2351"/>
      <c r="H299" s="2372">
        <f>'Part II-Development Team'!H96</f>
        <v>5734432021</v>
      </c>
      <c r="I299" s="2372">
        <f>'Part II-Development Team'!I96</f>
        <v>0</v>
      </c>
      <c r="J299" s="2376">
        <f>'Part II-Development Team'!J96</f>
        <v>0</v>
      </c>
      <c r="K299" s="2356" t="s">
        <v>2000</v>
      </c>
      <c r="L299" s="2367" t="str">
        <f>'Part II-Development Team'!L96</f>
        <v>rstevens@fairwaymanagement.com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Gregory Q.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Attorney</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2722</v>
      </c>
      <c r="L303" s="2351" t="str">
        <f>'Part II-Development Team'!L100</f>
        <v>www.colemantalley.com</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316010000</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4312</v>
      </c>
      <c r="F305" s="2351"/>
      <c r="G305" s="2351"/>
      <c r="H305" s="2372">
        <f>'Part II-Development Team'!H102</f>
        <v>2296718260</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CohnReznick</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Julie McNulty</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3560 Lenox Road, Suite 2800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2722</v>
      </c>
      <c r="L309" s="2351" t="str">
        <f>'Part II-Development Team'!L106</f>
        <v>www.cohnreznick.co</v>
      </c>
      <c r="M309" s="2351">
        <f>'Part II-Development Team'!M106</f>
        <v>0</v>
      </c>
      <c r="N309" s="2351">
        <f>'Part II-Development Team'!N106</f>
        <v>0</v>
      </c>
      <c r="O309" s="2359" t="s">
        <v>1734</v>
      </c>
      <c r="P309" s="2351"/>
      <c r="Q309" s="2372">
        <f>'Part II-Development Team'!Q106</f>
        <v>4042504050</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303264276</v>
      </c>
      <c r="M310" s="2371">
        <f>'Part II-Development Team'!M107</f>
        <v>0</v>
      </c>
      <c r="N310" s="2351"/>
      <c r="O310" s="2359" t="s">
        <v>1995</v>
      </c>
      <c r="P310" s="2351"/>
      <c r="Q310" s="2372">
        <f>'Part II-Development Team'!Q107</f>
        <v>7703550090</v>
      </c>
      <c r="R310" s="2372">
        <f>'Part II-Development Team'!R107</f>
        <v>0</v>
      </c>
      <c r="S310" s="2372">
        <f>'Part II-Development Team'!S107</f>
        <v>0</v>
      </c>
    </row>
    <row r="311" spans="1:19">
      <c r="A311" s="2358"/>
      <c r="B311" s="2358"/>
      <c r="C311" s="2358"/>
      <c r="D311" s="2358"/>
      <c r="E311" s="2359" t="s">
        <v>4312</v>
      </c>
      <c r="F311" s="2351"/>
      <c r="G311" s="2351"/>
      <c r="H311" s="2372">
        <f>'Part II-Development Team'!H108</f>
        <v>4048479447</v>
      </c>
      <c r="I311" s="2372">
        <f>'Part II-Development Team'!I108</f>
        <v>0</v>
      </c>
      <c r="J311" s="2376">
        <f>'Part II-Development Team'!J108</f>
        <v>0</v>
      </c>
      <c r="K311" s="2356" t="s">
        <v>2000</v>
      </c>
      <c r="L311" s="2367" t="str">
        <f>'Part II-Development Team'!L108</f>
        <v>julie.mcnulty@cohnreznick.com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Studio 8 Design Architecture</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Robert Byington</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2722 North Oak Street</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Manging Partner</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Valdosta</v>
      </c>
      <c r="I315" s="2351">
        <f>'Part II-Development Team'!I112</f>
        <v>0</v>
      </c>
      <c r="J315" s="2351">
        <f>'Part II-Development Team'!J112</f>
        <v>0</v>
      </c>
      <c r="K315" s="2356" t="s">
        <v>2722</v>
      </c>
      <c r="L315" s="2351" t="str">
        <f>'Part II-Development Team'!L112</f>
        <v>www.s8darchitects.com</v>
      </c>
      <c r="M315" s="2351">
        <f>'Part II-Development Team'!M112</f>
        <v>0</v>
      </c>
      <c r="N315" s="2351">
        <f>'Part II-Development Team'!N112</f>
        <v>0</v>
      </c>
      <c r="O315" s="2359" t="s">
        <v>1734</v>
      </c>
      <c r="P315" s="2351"/>
      <c r="Q315" s="2372">
        <f>'Part II-Development Team'!Q112</f>
        <v>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316020000</v>
      </c>
      <c r="M316" s="2371">
        <f>'Part II-Development Team'!M113</f>
        <v>0</v>
      </c>
      <c r="N316" s="2351"/>
      <c r="O316" s="2359" t="s">
        <v>1995</v>
      </c>
      <c r="P316" s="2351"/>
      <c r="Q316" s="2372">
        <f>'Part II-Development Team'!Q113</f>
        <v>2295611863</v>
      </c>
      <c r="R316" s="2372">
        <f>'Part II-Development Team'!R113</f>
        <v>0</v>
      </c>
      <c r="S316" s="2372">
        <f>'Part II-Development Team'!S113</f>
        <v>0</v>
      </c>
    </row>
    <row r="317" spans="1:19">
      <c r="A317" s="2351"/>
      <c r="B317" s="2351"/>
      <c r="C317" s="2351"/>
      <c r="D317" s="2424"/>
      <c r="E317" s="2359" t="s">
        <v>4312</v>
      </c>
      <c r="F317" s="2351"/>
      <c r="G317" s="2351"/>
      <c r="H317" s="2372">
        <f>'Part II-Development Team'!H114</f>
        <v>2292441188</v>
      </c>
      <c r="I317" s="2372">
        <f>'Part II-Development Team'!I114</f>
        <v>0</v>
      </c>
      <c r="J317" s="2376">
        <f>'Part II-Development Team'!J114</f>
        <v>0</v>
      </c>
      <c r="K317" s="2356" t="s">
        <v>2000</v>
      </c>
      <c r="L317" s="2367" t="str">
        <f>'Part II-Development Team'!L114</f>
        <v>rbyington@s8darchitects.com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4771</v>
      </c>
      <c r="D320" s="2351"/>
      <c r="E320" s="2351"/>
      <c r="F320" s="2351"/>
      <c r="G320" s="2351"/>
      <c r="H320" s="2351" t="str">
        <f>'Part II-Development Team'!H117</f>
        <v>Trisha A. Murphy</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3603</v>
      </c>
      <c r="P320" s="2351"/>
      <c r="Q320" s="2351">
        <f>'Part II-Development Team'!Q117</f>
        <v>7705476138</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PO Box 3482</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Cartersville</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301201709</v>
      </c>
      <c r="K322" s="2371">
        <f>'Part II-Development Team'!K119</f>
        <v>0</v>
      </c>
      <c r="L322" s="2356" t="s">
        <v>2000</v>
      </c>
      <c r="M322" s="2367" t="str">
        <f>'Part II-Development Team'!M119</f>
        <v>trishasinc@hotmail.com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3910</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Yes</v>
      </c>
      <c r="G327" s="2433" t="str">
        <f>'Part II-Development Team'!G124</f>
        <v>Currently no, but when the equity closes and the Federal and State Limited Partners are admitted there will be as they both share common principals with the Contractor</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Yes</v>
      </c>
      <c r="G330" s="2433" t="str">
        <f>'Part II-Development Team'!G127</f>
        <v>The General Contractor and the Federal and State Limited Partners share common principals.</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Manager, Contractor and Syndicator</v>
      </c>
      <c r="E332" s="2347">
        <f>'Part II-Development Team'!E129</f>
        <v>0</v>
      </c>
      <c r="F332" s="2432" t="str">
        <f>'Part II-Development Team'!F129</f>
        <v>Yes</v>
      </c>
      <c r="G332" s="2433" t="str">
        <f>'Part II-Development Team'!G129</f>
        <v>The Manager, General Contractor and the Federal and State Limited Partners share common principals.</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4772</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4773</v>
      </c>
      <c r="L336" s="2434" t="s">
        <v>4774</v>
      </c>
      <c r="M336" s="2434" t="s">
        <v>4775</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4776</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t="str">
        <f>'Part II-Development Team'!I143</f>
        <v>No</v>
      </c>
      <c r="J346" s="2432" t="str">
        <f>'Part II-Development Team'!J143</f>
        <v>No</v>
      </c>
      <c r="K346" s="2437" t="str">
        <f>'Part II-Development Team'!K143</f>
        <v>Nonprofit</v>
      </c>
      <c r="L346" s="2438">
        <f>'Part II-Development Team'!L143</f>
        <v>0</v>
      </c>
      <c r="M346" s="2432" t="str">
        <f>'Part II-Development Team'!M143</f>
        <v>No</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The State Limited Partner, Federal Limited Partner, Management Company and Construction Company all share common principals.</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2018-035 Peaks of Cartersville, Cartersville, Bartow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3917</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3914</v>
      </c>
      <c r="D370" s="2363"/>
      <c r="E370" s="2363"/>
      <c r="F370" s="2409">
        <f>'Part III-Sources of Funds'!F7</f>
        <v>0</v>
      </c>
      <c r="G370" s="2409">
        <f>'Part III-Sources of Funds'!G7</f>
        <v>0</v>
      </c>
      <c r="H370" s="2356" t="str">
        <f>'Part III-Sources of Funds'!H7</f>
        <v>No</v>
      </c>
      <c r="I370" s="2359" t="s">
        <v>3706</v>
      </c>
      <c r="J370" s="2363"/>
      <c r="K370" s="2363"/>
      <c r="L370" s="2356" t="str">
        <f>'Part III-Sources of Funds'!L7</f>
        <v>Yes</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3711</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3915</v>
      </c>
      <c r="D373" s="2363"/>
      <c r="E373" s="2363"/>
      <c r="F373" s="2363"/>
      <c r="G373" s="2440"/>
      <c r="H373" s="2356" t="str">
        <f>'Part III-Sources of Funds'!H10</f>
        <v>No</v>
      </c>
      <c r="I373" s="2351" t="s">
        <v>3746</v>
      </c>
      <c r="J373" s="2347"/>
      <c r="K373" s="2347"/>
      <c r="L373" s="2356" t="str">
        <f>'Part III-Sources of Funds'!L10</f>
        <v>No</v>
      </c>
      <c r="M373" s="2359" t="s">
        <v>3748</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4777</v>
      </c>
      <c r="D374" s="2351"/>
      <c r="E374" s="2441">
        <f>'Part III-Sources of Funds'!E11</f>
        <v>0</v>
      </c>
      <c r="F374" s="2442">
        <f>'Part III-Sources of Funds'!F11</f>
        <v>0</v>
      </c>
      <c r="G374" s="2363"/>
      <c r="H374" s="2356" t="str">
        <f>'Part III-Sources of Funds'!H11</f>
        <v>No</v>
      </c>
      <c r="I374" s="2351" t="s">
        <v>3751</v>
      </c>
      <c r="J374" s="2363"/>
      <c r="K374" s="2363"/>
      <c r="L374" s="2356" t="str">
        <f>'Part III-Sources of Funds'!L11</f>
        <v>No</v>
      </c>
      <c r="M374" s="2351" t="s">
        <v>3645</v>
      </c>
      <c r="N374" s="2363"/>
      <c r="O374" s="2363"/>
      <c r="P374" s="2363"/>
      <c r="Q374" s="2363"/>
    </row>
    <row r="375" spans="1:17" ht="13.5">
      <c r="A375" s="2349"/>
      <c r="B375" s="2356" t="str">
        <f>'Part III-Sources of Funds'!B12</f>
        <v>No</v>
      </c>
      <c r="C375" s="2359" t="s">
        <v>4778</v>
      </c>
      <c r="D375" s="2363"/>
      <c r="E375" s="2441">
        <f>'Part III-Sources of Funds'!E12</f>
        <v>0</v>
      </c>
      <c r="F375" s="2442">
        <f>'Part III-Sources of Funds'!F12</f>
        <v>0</v>
      </c>
      <c r="G375" s="2363"/>
      <c r="H375" s="2356" t="str">
        <f>'Part III-Sources of Funds'!H12</f>
        <v>No</v>
      </c>
      <c r="I375" s="2413" t="s">
        <v>2814</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3747</v>
      </c>
      <c r="D376" s="2363"/>
      <c r="E376" s="2363" t="str">
        <f>'Part III-Sources of Funds'!E13</f>
        <v>Specify Other HOME Source here</v>
      </c>
      <c r="F376" s="2363">
        <f>'Part III-Sources of Funds'!F13</f>
        <v>0</v>
      </c>
      <c r="G376" s="2363">
        <f>'Part III-Sources of Funds'!G13</f>
        <v>0</v>
      </c>
      <c r="H376" s="2356">
        <f>'Part III-Sources of Funds'!H13</f>
        <v>0</v>
      </c>
      <c r="I376" s="2359" t="s">
        <v>3916</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3712</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38.25">
      <c r="A382" s="2351"/>
      <c r="B382" s="2351" t="s">
        <v>1603</v>
      </c>
      <c r="C382" s="2351"/>
      <c r="D382" s="2351"/>
      <c r="E382" s="2351"/>
      <c r="F382" s="2351"/>
      <c r="G382" s="2351"/>
      <c r="H382" s="2430" t="str">
        <f>'Part III-Sources of Funds'!H19</f>
        <v>Bellweather Enterprise Real Estate Capital</v>
      </c>
      <c r="I382" s="2430">
        <f>'Part III-Sources of Funds'!I19</f>
        <v>0</v>
      </c>
      <c r="J382" s="2430">
        <f>'Part III-Sources of Funds'!J19</f>
        <v>0</v>
      </c>
      <c r="K382" s="2430">
        <f>'Part III-Sources of Funds'!K19</f>
        <v>0</v>
      </c>
      <c r="L382" s="2366">
        <f>'Part III-Sources of Funds'!L19</f>
        <v>2500000</v>
      </c>
      <c r="M382" s="2366">
        <f>'Part III-Sources of Funds'!M19</f>
        <v>0</v>
      </c>
      <c r="N382" s="2443">
        <f>'Part III-Sources of Funds'!N19</f>
        <v>0.05</v>
      </c>
      <c r="O382" s="2443">
        <f>'Part III-Sources of Funds'!O19</f>
        <v>0</v>
      </c>
      <c r="P382" s="2444">
        <f>'Part III-Sources of Funds'!P19</f>
        <v>18</v>
      </c>
      <c r="Q382" s="2444">
        <f>'Part III-Sources of Funds'!Q19</f>
        <v>0</v>
      </c>
    </row>
    <row r="383" spans="1:17">
      <c r="A383" s="2351"/>
      <c r="B383" s="2351" t="s">
        <v>1604</v>
      </c>
      <c r="C383" s="2351"/>
      <c r="D383" s="2351"/>
      <c r="E383" s="2351"/>
      <c r="F383" s="2351"/>
      <c r="G383" s="2351"/>
      <c r="H383" s="2430" t="str">
        <f>'Part III-Sources of Funds'!H20</f>
        <v>Sterling Bank</v>
      </c>
      <c r="I383" s="2430">
        <f>'Part III-Sources of Funds'!I20</f>
        <v>0</v>
      </c>
      <c r="J383" s="2430">
        <f>'Part III-Sources of Funds'!J20</f>
        <v>0</v>
      </c>
      <c r="K383" s="2430">
        <f>'Part III-Sources of Funds'!K20</f>
        <v>0</v>
      </c>
      <c r="L383" s="2366">
        <f>'Part III-Sources of Funds'!L20</f>
        <v>5700000</v>
      </c>
      <c r="M383" s="2366">
        <f>'Part III-Sources of Funds'!M20</f>
        <v>0</v>
      </c>
      <c r="N383" s="2443">
        <f>'Part III-Sources of Funds'!N20</f>
        <v>0.06</v>
      </c>
      <c r="O383" s="2443">
        <f>'Part III-Sources of Funds'!O20</f>
        <v>0</v>
      </c>
      <c r="P383" s="2444">
        <f>'Part III-Sources of Funds'!P20</f>
        <v>18</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Affordable Equity Partners</v>
      </c>
      <c r="I388" s="2430">
        <f>'Part III-Sources of Funds'!I25</f>
        <v>0</v>
      </c>
      <c r="J388" s="2430">
        <f>'Part III-Sources of Funds'!J25</f>
        <v>0</v>
      </c>
      <c r="K388" s="2430">
        <f>'Part III-Sources of Funds'!K25</f>
        <v>0</v>
      </c>
      <c r="L388" s="2366">
        <f>'Part III-Sources of Funds'!L25</f>
        <v>2227709</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Affordable Equity Partners</v>
      </c>
      <c r="I389" s="2430">
        <f>'Part III-Sources of Funds'!I26</f>
        <v>0</v>
      </c>
      <c r="J389" s="2430">
        <f>'Part III-Sources of Funds'!J26</f>
        <v>0</v>
      </c>
      <c r="K389" s="2430">
        <f>'Part III-Sources of Funds'!K26</f>
        <v>0</v>
      </c>
      <c r="L389" s="2366">
        <f>'Part III-Sources of Funds'!L26</f>
        <v>968126.26578092016</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11395835.26578092</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11395835</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0.26578092016279697</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51">
      <c r="A400" s="2351"/>
      <c r="B400" s="2351" t="s">
        <v>2631</v>
      </c>
      <c r="C400" s="2351"/>
      <c r="D400" s="2351"/>
      <c r="E400" s="2430" t="str">
        <f>'Part III-Sources of Funds'!E37</f>
        <v>Bellweather Enterprise Real Estate Capital</v>
      </c>
      <c r="F400" s="2430">
        <f>'Part III-Sources of Funds'!F37</f>
        <v>0</v>
      </c>
      <c r="G400" s="2430">
        <f>'Part III-Sources of Funds'!G37</f>
        <v>0</v>
      </c>
      <c r="H400" s="2430">
        <f>'Part III-Sources of Funds'!H37</f>
        <v>0</v>
      </c>
      <c r="I400" s="2387">
        <f>'Part III-Sources of Funds'!I37</f>
        <v>2500000</v>
      </c>
      <c r="J400" s="2351">
        <f>'Part III-Sources of Funds'!J37</f>
        <v>0</v>
      </c>
      <c r="K400" s="2448">
        <f>'Part III-Sources of Funds'!K37</f>
        <v>5.5E-2</v>
      </c>
      <c r="L400" s="2356">
        <f>'Part III-Sources of Funds'!L37</f>
        <v>38</v>
      </c>
      <c r="M400" s="2356">
        <f>'Part III-Sources of Funds'!M37</f>
        <v>40</v>
      </c>
      <c r="N400" s="2449">
        <f>'Part III-Sources of Funds'!N37</f>
        <v>154731.08439713262</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3.9299363057324838E-3</v>
      </c>
      <c r="E405" s="2430" t="str">
        <f>'Part III-Sources of Funds'!E42</f>
        <v>Peaks of Cartersville Development, LLC</v>
      </c>
      <c r="F405" s="2430">
        <f>'Part III-Sources of Funds'!F42</f>
        <v>0</v>
      </c>
      <c r="G405" s="2430">
        <f>'Part III-Sources of Funds'!G42</f>
        <v>0</v>
      </c>
      <c r="H405" s="2430">
        <f>'Part III-Sources of Funds'!H42</f>
        <v>0</v>
      </c>
      <c r="I405" s="2387">
        <f>'Part III-Sources of Funds'!I42</f>
        <v>6170</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4233</v>
      </c>
      <c r="C407" s="2351"/>
      <c r="D407" s="2363"/>
      <c r="E407" s="2363" t="s">
        <v>4128</v>
      </c>
      <c r="F407" s="2454" t="e">
        <f>'Part III-Sources of Funds'!F44</f>
        <v>#N/A</v>
      </c>
      <c r="G407" s="2363"/>
      <c r="H407" s="2440" t="s">
        <v>4232</v>
      </c>
      <c r="I407" s="2454" t="e">
        <f>'Part III-Sources of Funds'!I44</f>
        <v>#N/A</v>
      </c>
      <c r="J407" s="2363"/>
      <c r="K407" s="2448"/>
      <c r="L407" s="2356"/>
      <c r="M407" s="2356"/>
      <c r="N407" s="2453"/>
      <c r="O407" s="2453"/>
      <c r="P407" s="2356"/>
      <c r="Q407" s="2356"/>
    </row>
    <row r="408" spans="1:17" ht="13.5">
      <c r="A408" s="2351"/>
      <c r="B408" s="2363" t="s">
        <v>4779</v>
      </c>
      <c r="C408" s="2351"/>
      <c r="D408" s="2450"/>
      <c r="E408" s="2363"/>
      <c r="F408" s="2455">
        <f>'Part III-Sources of Funds'!F45</f>
        <v>1</v>
      </c>
      <c r="G408" s="2455">
        <f>'Part III-Sources of Funds'!G45</f>
        <v>0</v>
      </c>
      <c r="H408" s="2440" t="s">
        <v>4234</v>
      </c>
      <c r="I408" s="2455" t="e">
        <f>'Part III-Sources of Funds'!I45</f>
        <v>#N/A</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Affordable Equity Partners</v>
      </c>
      <c r="F412" s="2430">
        <f>'Part III-Sources of Funds'!F49</f>
        <v>0</v>
      </c>
      <c r="G412" s="2430">
        <f>'Part III-Sources of Funds'!G49</f>
        <v>0</v>
      </c>
      <c r="H412" s="2430">
        <f>'Part III-Sources of Funds'!H49</f>
        <v>0</v>
      </c>
      <c r="I412" s="2387">
        <f>'Part III-Sources of Funds'!I49</f>
        <v>7627986.5</v>
      </c>
      <c r="J412" s="2351">
        <f>'Part III-Sources of Funds'!J49</f>
        <v>0</v>
      </c>
      <c r="K412" s="2363"/>
      <c r="L412" s="2458">
        <f>'Part IV-A-Uses of Funds'!$J$175*10*'Part IV-A-Uses of Funds'!$N$168</f>
        <v>7628750</v>
      </c>
      <c r="M412" s="2458"/>
      <c r="N412" s="2459">
        <f>I412-L412</f>
        <v>-763.5</v>
      </c>
      <c r="O412" s="2459"/>
      <c r="P412" s="2460" t="s">
        <v>2577</v>
      </c>
      <c r="Q412" s="2351"/>
    </row>
    <row r="413" spans="1:17" ht="38.25">
      <c r="A413" s="2351"/>
      <c r="B413" s="2351" t="s">
        <v>811</v>
      </c>
      <c r="C413" s="2351"/>
      <c r="D413" s="2351"/>
      <c r="E413" s="2430" t="str">
        <f>'Part III-Sources of Funds'!E50</f>
        <v>Affordable Equity Partners</v>
      </c>
      <c r="F413" s="2430">
        <f>'Part III-Sources of Funds'!F50</f>
        <v>0</v>
      </c>
      <c r="G413" s="2430">
        <f>'Part III-Sources of Funds'!G50</f>
        <v>0</v>
      </c>
      <c r="H413" s="2430">
        <f>'Part III-Sources of Funds'!H50</f>
        <v>0</v>
      </c>
      <c r="I413" s="2387">
        <f>'Part III-Sources of Funds'!I50</f>
        <v>3315000</v>
      </c>
      <c r="J413" s="2351">
        <f>'Part III-Sources of Funds'!J50</f>
        <v>0</v>
      </c>
      <c r="K413" s="2363"/>
      <c r="L413" s="2458">
        <f>'Part IV-A-Uses of Funds'!$J$175*10*'Part IV-A-Uses of Funds'!$Q$168</f>
        <v>3315000</v>
      </c>
      <c r="M413" s="2458"/>
      <c r="N413" s="2459">
        <f>I413-L413</f>
        <v>0</v>
      </c>
      <c r="O413" s="2459"/>
      <c r="P413" s="2461">
        <f>I412/I422</f>
        <v>0.56716748603637468</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0.24648184894016029</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0.81364933497653502</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38.25">
      <c r="A418" s="2351"/>
      <c r="B418" s="2351" t="s">
        <v>749</v>
      </c>
      <c r="C418" s="2430" t="str">
        <f>'Part III-Sources of Funds'!C55</f>
        <v>GP Contribution</v>
      </c>
      <c r="D418" s="2430">
        <f>'Part III-Sources of Funds'!D55</f>
        <v>0</v>
      </c>
      <c r="E418" s="2430" t="str">
        <f>'Part III-Sources of Funds'!E55</f>
        <v>Peaks of Cartersville GP, LLC</v>
      </c>
      <c r="F418" s="2430">
        <f>'Part III-Sources of Funds'!F55</f>
        <v>0</v>
      </c>
      <c r="G418" s="2430">
        <f>'Part III-Sources of Funds'!G55</f>
        <v>0</v>
      </c>
      <c r="H418" s="2430">
        <f>'Part III-Sources of Funds'!H55</f>
        <v>0</v>
      </c>
      <c r="I418" s="2387">
        <f>'Part III-Sources of Funds'!I55</f>
        <v>110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13449266.5</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13449266.200550128</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0.29944987222552299</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Mortgage A is a USDA 538 Insured Mortage through Bellweather Enterprise and continues from construction through permanent conversion.  The annual loan note guarantee rate of 0.50% is loaded into the base fee rate.</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2018-035 Peaks of Cartersville,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2018-035 Peaks of Cartersville,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8000</v>
      </c>
      <c r="H444" s="2366">
        <f>'Part IV-A-Uses of Funds'!H8</f>
        <v>0</v>
      </c>
      <c r="I444" s="2351"/>
      <c r="J444" s="2366">
        <f>'Part IV-A-Uses of Funds'!J8</f>
        <v>8000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11100</v>
      </c>
      <c r="H445" s="2366">
        <f>'Part IV-A-Uses of Funds'!H9</f>
        <v>0</v>
      </c>
      <c r="I445" s="2351"/>
      <c r="J445" s="2366">
        <f>'Part IV-A-Uses of Funds'!J9</f>
        <v>11100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23300</v>
      </c>
      <c r="H446" s="2366">
        <f>'Part IV-A-Uses of Funds'!H10</f>
        <v>0</v>
      </c>
      <c r="I446" s="2351"/>
      <c r="J446" s="2366">
        <f>'Part IV-A-Uses of Funds'!J10</f>
        <v>23300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10000</v>
      </c>
      <c r="H447" s="2366">
        <f>'Part IV-A-Uses of Funds'!H11</f>
        <v>0</v>
      </c>
      <c r="I447" s="2351"/>
      <c r="J447" s="2366">
        <f>'Part IV-A-Uses of Funds'!J11</f>
        <v>10000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18300</v>
      </c>
      <c r="H448" s="2366">
        <f>'Part IV-A-Uses of Funds'!H12</f>
        <v>0</v>
      </c>
      <c r="I448" s="2351"/>
      <c r="J448" s="2366">
        <f>'Part IV-A-Uses of Funds'!J12</f>
        <v>18300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2000</v>
      </c>
      <c r="H449" s="2366">
        <f>'Part IV-A-Uses of Funds'!H13</f>
        <v>0</v>
      </c>
      <c r="I449" s="2351"/>
      <c r="J449" s="2366">
        <f>'Part IV-A-Uses of Funds'!J13</f>
        <v>2000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Engineer DD &amp; OPC</v>
      </c>
      <c r="D450" s="2369">
        <f>'Part IV-A-Uses of Funds'!D14</f>
        <v>0</v>
      </c>
      <c r="E450" s="2369">
        <f>'Part IV-A-Uses of Funds'!E14</f>
        <v>0</v>
      </c>
      <c r="F450" s="2369">
        <f>'Part IV-A-Uses of Funds'!F14</f>
        <v>0</v>
      </c>
      <c r="G450" s="2366">
        <f>'Part IV-A-Uses of Funds'!G14</f>
        <v>9000</v>
      </c>
      <c r="H450" s="2366">
        <f>'Part IV-A-Uses of Funds'!H14</f>
        <v>0</v>
      </c>
      <c r="I450" s="2351"/>
      <c r="J450" s="2366">
        <f>'Part IV-A-Uses of Funds'!J14</f>
        <v>9000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Sewer Capacity Study</v>
      </c>
      <c r="D451" s="2369">
        <f>'Part IV-A-Uses of Funds'!D15</f>
        <v>0</v>
      </c>
      <c r="E451" s="2369">
        <f>'Part IV-A-Uses of Funds'!E15</f>
        <v>0</v>
      </c>
      <c r="F451" s="2369">
        <f>'Part IV-A-Uses of Funds'!F15</f>
        <v>0</v>
      </c>
      <c r="G451" s="2366">
        <f>'Part IV-A-Uses of Funds'!G15</f>
        <v>5500</v>
      </c>
      <c r="H451" s="2366">
        <f>'Part IV-A-Uses of Funds'!H15</f>
        <v>0</v>
      </c>
      <c r="I451" s="2351"/>
      <c r="J451" s="2366">
        <f>'Part IV-A-Uses of Funds'!J15</f>
        <v>5500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f>'Part IV-A-Uses of Funds'!C16</f>
        <v>0</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87200</v>
      </c>
      <c r="H453" s="2366"/>
      <c r="I453" s="2351"/>
      <c r="J453" s="2366">
        <f>SUM(J444:K452)</f>
        <v>87200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991000</v>
      </c>
      <c r="H455" s="2366">
        <f>'Part IV-A-Uses of Funds'!H19</f>
        <v>0</v>
      </c>
      <c r="I455" s="2351"/>
      <c r="J455" s="2381"/>
      <c r="K455" s="2366"/>
      <c r="L455" s="2381"/>
      <c r="M455" s="2381"/>
      <c r="N455" s="2366"/>
      <c r="O455" s="2351"/>
      <c r="P455" s="2381"/>
      <c r="Q455" s="2366"/>
      <c r="R455" s="2351"/>
      <c r="S455" s="2366">
        <f>'Part IV-A-Uses of Funds'!S19</f>
        <v>991000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25000</v>
      </c>
      <c r="H456" s="2366">
        <f>'Part IV-A-Uses of Funds'!H20</f>
        <v>0</v>
      </c>
      <c r="I456" s="2351"/>
      <c r="J456" s="2381"/>
      <c r="K456" s="2366"/>
      <c r="L456" s="2381"/>
      <c r="M456" s="2381"/>
      <c r="N456" s="2366"/>
      <c r="O456" s="2351"/>
      <c r="P456" s="2381"/>
      <c r="Q456" s="2366"/>
      <c r="R456" s="2351"/>
      <c r="S456" s="2366">
        <f>'Part IV-A-Uses of Funds'!S20</f>
        <v>25000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1016000</v>
      </c>
      <c r="H459" s="2366"/>
      <c r="I459" s="2351"/>
      <c r="J459" s="2381"/>
      <c r="K459" s="2366"/>
      <c r="L459" s="2381"/>
      <c r="M459" s="2366">
        <f>SUM(M457:N458)</f>
        <v>0</v>
      </c>
      <c r="N459" s="2366"/>
      <c r="O459" s="2351"/>
      <c r="P459" s="2381"/>
      <c r="Q459" s="2366"/>
      <c r="R459" s="2351"/>
      <c r="S459" s="2366">
        <f>SUM(S455:T458)</f>
        <v>1016000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3754</v>
      </c>
      <c r="F461" s="2417">
        <f>IF('Part I-Project Information'!$O$37="","",G461/'Part I-Project Information'!$O$37)</f>
        <v>206130.57541709227</v>
      </c>
      <c r="G461" s="2366">
        <f>'Part IV-A-Uses of Funds'!G25</f>
        <v>1210811</v>
      </c>
      <c r="H461" s="2366">
        <f>'Part IV-A-Uses of Funds'!H25</f>
        <v>0</v>
      </c>
      <c r="I461" s="2351"/>
      <c r="J461" s="2366">
        <f>'Part IV-A-Uses of Funds'!J25</f>
        <v>1089730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121081</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1210811</v>
      </c>
      <c r="H463" s="2366"/>
      <c r="I463" s="2351"/>
      <c r="J463" s="2366">
        <f>SUM(J461:K462)</f>
        <v>1089730</v>
      </c>
      <c r="K463" s="2366"/>
      <c r="L463" s="2381"/>
      <c r="M463" s="2366">
        <f>M461</f>
        <v>0</v>
      </c>
      <c r="N463" s="2366"/>
      <c r="O463" s="2351"/>
      <c r="P463" s="2366">
        <f>P461</f>
        <v>0</v>
      </c>
      <c r="Q463" s="2366"/>
      <c r="R463" s="2351"/>
      <c r="S463" s="2366">
        <f>SUM(S461:T462)</f>
        <v>121081</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5885000</v>
      </c>
      <c r="H465" s="2366">
        <f>'Part IV-A-Uses of Funds'!H29</f>
        <v>0</v>
      </c>
      <c r="I465" s="2351"/>
      <c r="J465" s="2366">
        <f>'Part IV-A-Uses of Funds'!J29</f>
        <v>5885000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225000</v>
      </c>
      <c r="H467" s="2366">
        <f>'Part IV-A-Uses of Funds'!H31</f>
        <v>0</v>
      </c>
      <c r="I467" s="2351"/>
      <c r="J467" s="2366">
        <f>'Part IV-A-Uses of Funds'!J31</f>
        <v>225000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6110000</v>
      </c>
      <c r="H469" s="2366"/>
      <c r="I469" s="2351"/>
      <c r="J469" s="2366">
        <f>SUM(J465:K468)</f>
        <v>6110000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3758</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439248.66</v>
      </c>
      <c r="F471" s="2475" t="e">
        <f>IF(($G$27+$G$33)=0,0,G471/($G$27+$G$33))</f>
        <v>#VALUE!</v>
      </c>
      <c r="G471" s="2366">
        <f>'Part IV-A-Uses of Funds'!G35</f>
        <v>439248.5</v>
      </c>
      <c r="H471" s="2366">
        <f>'Part IV-A-Uses of Funds'!H35</f>
        <v>0</v>
      </c>
      <c r="I471" s="2358"/>
      <c r="J471" s="2366">
        <f>'Part IV-A-Uses of Funds'!J35</f>
        <v>439248.5</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146416.22</v>
      </c>
      <c r="F472" s="2475" t="e">
        <f>IF(($G$27+$G$33)=0,0,G472/($G$27+$G$33))</f>
        <v>#VALUE!</v>
      </c>
      <c r="G472" s="2366">
        <f>'Part IV-A-Uses of Funds'!G36</f>
        <v>146416</v>
      </c>
      <c r="H472" s="2366">
        <f>'Part IV-A-Uses of Funds'!H36</f>
        <v>0</v>
      </c>
      <c r="I472" s="2358"/>
      <c r="J472" s="2366">
        <f>'Part IV-A-Uses of Funds'!J36</f>
        <v>146416</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439248.66</v>
      </c>
      <c r="F473" s="2475" t="e">
        <f>IF(($G$27+$G$33)=0,0,G473/($G$27+$G$33))</f>
        <v>#VALUE!</v>
      </c>
      <c r="G473" s="2366">
        <f>'Part IV-A-Uses of Funds'!G37</f>
        <v>439248.5</v>
      </c>
      <c r="H473" s="2366">
        <f>'Part IV-A-Uses of Funds'!H37</f>
        <v>0</v>
      </c>
      <c r="I473" s="2358"/>
      <c r="J473" s="2366">
        <f>'Part IV-A-Uses of Funds'!J37</f>
        <v>439248.5</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3759</v>
      </c>
      <c r="C474" s="2351"/>
      <c r="D474" s="2473">
        <f>SUM(D471:D473)</f>
        <v>0.14000000000000001</v>
      </c>
      <c r="E474" s="2477">
        <f>SUM(E471:E473)</f>
        <v>1024913.54</v>
      </c>
      <c r="F474" s="2468" t="s">
        <v>193</v>
      </c>
      <c r="G474" s="2366">
        <f>SUM(G471:H473)</f>
        <v>1024913</v>
      </c>
      <c r="H474" s="2366"/>
      <c r="I474" s="2351"/>
      <c r="J474" s="2366">
        <f>SUM(J471:K473)</f>
        <v>1024913</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4780</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4781</v>
      </c>
      <c r="C479" s="2480"/>
      <c r="D479" s="2351"/>
      <c r="E479" s="2350" t="s">
        <v>2762</v>
      </c>
      <c r="F479" s="2481">
        <f>B480/'Part VI-Revenues &amp; Expenses'!$O$60</f>
        <v>115912.83333333333</v>
      </c>
      <c r="G479" s="2482" t="s">
        <v>4782</v>
      </c>
      <c r="H479" s="2351"/>
      <c r="I479" s="2351"/>
      <c r="J479" s="2483">
        <f>B480/'Part VI-Revenues &amp; Expenses'!$O$62</f>
        <v>115912.83333333333</v>
      </c>
      <c r="K479" s="2483"/>
      <c r="L479" s="2351"/>
      <c r="M479" s="2484" t="s">
        <v>1414</v>
      </c>
      <c r="N479" s="2484"/>
      <c r="O479" s="2351"/>
      <c r="P479" s="2483">
        <f>B480/'Part I-Project Information'!$P$71</f>
        <v>123.4209405501331</v>
      </c>
      <c r="Q479" s="2483"/>
      <c r="R479" s="2351"/>
      <c r="S479" s="2390" t="s">
        <v>2796</v>
      </c>
      <c r="T479" s="2390"/>
      <c r="U479" s="2351"/>
      <c r="V479" s="2465"/>
      <c r="W479" s="1329">
        <f>'Part IV-A-Uses of Funds'!W43</f>
        <v>0</v>
      </c>
      <c r="X479" s="1329">
        <f>'Part IV-A-Uses of Funds'!X43</f>
        <v>0</v>
      </c>
    </row>
    <row r="480" spans="1:24">
      <c r="A480" s="2351"/>
      <c r="B480" s="2485">
        <f>G463+G469+G474+G477</f>
        <v>8345724</v>
      </c>
      <c r="C480" s="2485"/>
      <c r="D480" s="2351"/>
      <c r="E480" s="2350"/>
      <c r="F480" s="2481">
        <f>B480/'Part VI-Revenues &amp; Expenses'!$O$117</f>
        <v>130.76562940678764</v>
      </c>
      <c r="G480" s="2390" t="s">
        <v>4783</v>
      </c>
      <c r="H480" s="2351"/>
      <c r="I480" s="2351"/>
      <c r="J480" s="2483">
        <f>B480/'Part VI-Revenues &amp; Expenses'!$O$119</f>
        <v>130.76562940678764</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4238</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4237</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417286.2</v>
      </c>
      <c r="F483" s="2489">
        <f>G483/B480</f>
        <v>4.9999976035632138E-2</v>
      </c>
      <c r="G483" s="2366">
        <f>'Part IV-A-Uses of Funds'!G47</f>
        <v>417286</v>
      </c>
      <c r="H483" s="2366">
        <f>'Part IV-A-Uses of Funds'!H47</f>
        <v>0</v>
      </c>
      <c r="I483" s="2351"/>
      <c r="J483" s="2366">
        <f>'Part IV-A-Uses of Funds'!J47</f>
        <v>375558</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41729</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4784</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3760</v>
      </c>
      <c r="C488" s="2351"/>
      <c r="D488" s="2351"/>
      <c r="E488" s="2351"/>
      <c r="F488" s="2351"/>
      <c r="G488" s="2366">
        <f>'Part IV-A-Uses of Funds'!G52</f>
        <v>199174</v>
      </c>
      <c r="H488" s="2366">
        <f>'Part IV-A-Uses of Funds'!H52</f>
        <v>0</v>
      </c>
      <c r="I488" s="2351"/>
      <c r="J488" s="2366">
        <f>'Part IV-A-Uses of Funds'!J52</f>
        <v>172761</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26414</v>
      </c>
      <c r="T488" s="2366">
        <f>'Part IV-A-Uses of Funds'!T52</f>
        <v>0</v>
      </c>
      <c r="U488" s="2351"/>
      <c r="V488" s="2465"/>
      <c r="W488" s="1329"/>
      <c r="X488" s="1329"/>
    </row>
    <row r="489" spans="1:24">
      <c r="A489" s="2351"/>
      <c r="B489" s="2351" t="s">
        <v>3761</v>
      </c>
      <c r="C489" s="2351"/>
      <c r="D489" s="2351"/>
      <c r="E489" s="2351"/>
      <c r="F489" s="2351"/>
      <c r="G489" s="2366">
        <f>'Part IV-A-Uses of Funds'!G53</f>
        <v>57000</v>
      </c>
      <c r="H489" s="2366">
        <f>'Part IV-A-Uses of Funds'!H53</f>
        <v>0</v>
      </c>
      <c r="I489" s="2351"/>
      <c r="J489" s="2366">
        <f>'Part IV-A-Uses of Funds'!J53</f>
        <v>57000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41000</v>
      </c>
      <c r="H490" s="2366">
        <f>'Part IV-A-Uses of Funds'!H54</f>
        <v>0</v>
      </c>
      <c r="I490" s="2351"/>
      <c r="J490" s="2366">
        <f>'Part IV-A-Uses of Funds'!J54</f>
        <v>24600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16400</v>
      </c>
      <c r="T490" s="2366">
        <f>'Part IV-A-Uses of Funds'!T54</f>
        <v>0</v>
      </c>
      <c r="U490" s="2351"/>
      <c r="V490" s="2465"/>
      <c r="W490" s="1329"/>
      <c r="X490" s="1329"/>
    </row>
    <row r="491" spans="1:24">
      <c r="A491" s="2351"/>
      <c r="B491" s="2351" t="s">
        <v>2363</v>
      </c>
      <c r="C491" s="2351"/>
      <c r="D491" s="2351"/>
      <c r="E491" s="2351"/>
      <c r="F491" s="2351"/>
      <c r="G491" s="2366">
        <f>'Part IV-A-Uses of Funds'!G55</f>
        <v>146756</v>
      </c>
      <c r="H491" s="2366">
        <f>'Part IV-A-Uses of Funds'!H55</f>
        <v>0</v>
      </c>
      <c r="I491" s="2351"/>
      <c r="J491" s="2366">
        <f>'Part IV-A-Uses of Funds'!J55</f>
        <v>64141</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82615</v>
      </c>
      <c r="T491" s="2366">
        <f>'Part IV-A-Uses of Funds'!T55</f>
        <v>0</v>
      </c>
      <c r="U491" s="2351"/>
      <c r="V491" s="2465"/>
      <c r="W491" s="1329"/>
      <c r="X491" s="1329"/>
    </row>
    <row r="492" spans="1:24">
      <c r="A492" s="2351"/>
      <c r="B492" s="2351" t="s">
        <v>2364</v>
      </c>
      <c r="C492" s="2351"/>
      <c r="D492" s="2351"/>
      <c r="E492" s="2351"/>
      <c r="F492" s="2351"/>
      <c r="G492" s="2366">
        <f>'Part IV-A-Uses of Funds'!G56</f>
        <v>25000</v>
      </c>
      <c r="H492" s="2366">
        <f>'Part IV-A-Uses of Funds'!H56</f>
        <v>0</v>
      </c>
      <c r="I492" s="2351"/>
      <c r="J492" s="2366">
        <f>'Part IV-A-Uses of Funds'!J56</f>
        <v>25000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20400</v>
      </c>
      <c r="H493" s="2366">
        <f>'Part IV-A-Uses of Funds'!H57</f>
        <v>0</v>
      </c>
      <c r="I493" s="2351"/>
      <c r="J493" s="2366">
        <f>'Part IV-A-Uses of Funds'!J57</f>
        <v>20400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12600</v>
      </c>
      <c r="H494" s="2366">
        <f>'Part IV-A-Uses of Funds'!H58</f>
        <v>0</v>
      </c>
      <c r="I494" s="2351"/>
      <c r="J494" s="2366">
        <f>'Part IV-A-Uses of Funds'!J58</f>
        <v>12600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5000</v>
      </c>
      <c r="H495" s="2366">
        <f>'Part IV-A-Uses of Funds'!H59</f>
        <v>0</v>
      </c>
      <c r="I495" s="2351"/>
      <c r="J495" s="2366">
        <f>'Part IV-A-Uses of Funds'!J59</f>
        <v>5000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50000</v>
      </c>
      <c r="H496" s="2366">
        <f>'Part IV-A-Uses of Funds'!H60</f>
        <v>0</v>
      </c>
      <c r="I496" s="2351"/>
      <c r="J496" s="2366">
        <f>'Part IV-A-Uses of Funds'!J60</f>
        <v>25000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25000</v>
      </c>
      <c r="T496" s="2366">
        <f>'Part IV-A-Uses of Funds'!T60</f>
        <v>0</v>
      </c>
      <c r="U496" s="2351"/>
      <c r="V496" s="2465"/>
      <c r="W496" s="1329"/>
      <c r="X496" s="1329"/>
    </row>
    <row r="497" spans="1:24">
      <c r="A497" s="2351"/>
      <c r="B497" s="2490" t="s">
        <v>1163</v>
      </c>
      <c r="C497" s="2351"/>
      <c r="D497" s="2489"/>
      <c r="E497" s="2489"/>
      <c r="F497" s="2491"/>
      <c r="G497" s="2366">
        <f>'Part IV-A-Uses of Funds'!G61</f>
        <v>62593</v>
      </c>
      <c r="H497" s="2366">
        <f>'Part IV-A-Uses of Funds'!H61</f>
        <v>0</v>
      </c>
      <c r="I497" s="2358"/>
      <c r="J497" s="2366">
        <f>'Part IV-A-Uses of Funds'!J61</f>
        <v>62593</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Upfront Guarantee Fee (Due at Closing)</v>
      </c>
      <c r="D498" s="2369">
        <f>'Part IV-A-Uses of Funds'!D62</f>
        <v>0</v>
      </c>
      <c r="E498" s="2369">
        <f>'Part IV-A-Uses of Funds'!E62</f>
        <v>0</v>
      </c>
      <c r="F498" s="2369">
        <f>'Part IV-A-Uses of Funds'!F62</f>
        <v>0</v>
      </c>
      <c r="G498" s="2366">
        <f>'Part IV-A-Uses of Funds'!G62</f>
        <v>22500</v>
      </c>
      <c r="H498" s="2366">
        <f>'Part IV-A-Uses of Funds'!H62</f>
        <v>0</v>
      </c>
      <c r="I498" s="2351"/>
      <c r="J498" s="2366">
        <f>'Part IV-A-Uses of Funds'!J62</f>
        <v>22500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Annual Guarantee Fee (During Construction)</v>
      </c>
      <c r="D499" s="2369">
        <f>'Part IV-A-Uses of Funds'!D63</f>
        <v>0</v>
      </c>
      <c r="E499" s="2369">
        <f>'Part IV-A-Uses of Funds'!E63</f>
        <v>0</v>
      </c>
      <c r="F499" s="2369">
        <f>'Part IV-A-Uses of Funds'!F63</f>
        <v>0</v>
      </c>
      <c r="G499" s="2366">
        <f>'Part IV-A-Uses of Funds'!G63</f>
        <v>12500</v>
      </c>
      <c r="H499" s="2366">
        <f>'Part IV-A-Uses of Funds'!H63</f>
        <v>0</v>
      </c>
      <c r="I499" s="2351"/>
      <c r="J499" s="2366">
        <f>'Part IV-A-Uses of Funds'!J63</f>
        <v>12500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654523</v>
      </c>
      <c r="H500" s="2366"/>
      <c r="I500" s="2351"/>
      <c r="J500" s="2366">
        <f>SUM(J488:K499)</f>
        <v>504095</v>
      </c>
      <c r="K500" s="2366"/>
      <c r="L500" s="2381"/>
      <c r="M500" s="2366">
        <f>SUM(M488:N499)</f>
        <v>0</v>
      </c>
      <c r="N500" s="2366"/>
      <c r="O500" s="2351"/>
      <c r="P500" s="2366">
        <f>SUM(P488:Q499)</f>
        <v>0</v>
      </c>
      <c r="Q500" s="2366"/>
      <c r="R500" s="2351"/>
      <c r="S500" s="2366">
        <f>SUM(S488:T499)</f>
        <v>150429</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180800</v>
      </c>
      <c r="H502" s="2366">
        <f>'Part IV-A-Uses of Funds'!H66</f>
        <v>0</v>
      </c>
      <c r="I502" s="2351"/>
      <c r="J502" s="2366">
        <f>'Part IV-A-Uses of Funds'!J66</f>
        <v>180800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45200</v>
      </c>
      <c r="H503" s="2366">
        <f>'Part IV-A-Uses of Funds'!H67</f>
        <v>0</v>
      </c>
      <c r="I503" s="2351"/>
      <c r="J503" s="2366">
        <f>'Part IV-A-Uses of Funds'!J67</f>
        <v>45200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3876</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5400</v>
      </c>
      <c r="H505" s="2366">
        <f>'Part IV-A-Uses of Funds'!H69</f>
        <v>0</v>
      </c>
      <c r="I505" s="2351"/>
      <c r="J505" s="2366">
        <f>'Part IV-A-Uses of Funds'!J69</f>
        <v>5400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6300</v>
      </c>
      <c r="H506" s="2366">
        <f>'Part IV-A-Uses of Funds'!H70</f>
        <v>0</v>
      </c>
      <c r="I506" s="2351"/>
      <c r="J506" s="2366">
        <f>'Part IV-A-Uses of Funds'!J70</f>
        <v>6300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45000</v>
      </c>
      <c r="H507" s="2366">
        <f>'Part IV-A-Uses of Funds'!H71</f>
        <v>0</v>
      </c>
      <c r="I507" s="2351"/>
      <c r="J507" s="2366">
        <f>'Part IV-A-Uses of Funds'!J71</f>
        <v>45000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60400</v>
      </c>
      <c r="H508" s="2366">
        <f>'Part IV-A-Uses of Funds'!H72</f>
        <v>0</v>
      </c>
      <c r="I508" s="2351"/>
      <c r="J508" s="2366">
        <f>'Part IV-A-Uses of Funds'!J72</f>
        <v>60400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50000</v>
      </c>
      <c r="H509" s="2366">
        <f>'Part IV-A-Uses of Funds'!H73</f>
        <v>0</v>
      </c>
      <c r="I509" s="2351"/>
      <c r="J509" s="2366">
        <f>'Part IV-A-Uses of Funds'!J73</f>
        <v>50000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0</v>
      </c>
      <c r="T509" s="2366">
        <f>'Part IV-A-Uses of Funds'!T73</f>
        <v>0</v>
      </c>
      <c r="U509" s="2351"/>
      <c r="V509" s="2465"/>
      <c r="W509" s="1329"/>
      <c r="X509" s="1329"/>
    </row>
    <row r="510" spans="1:24">
      <c r="A510" s="2351"/>
      <c r="B510" s="2351" t="s">
        <v>2065</v>
      </c>
      <c r="C510" s="2351"/>
      <c r="D510" s="2351"/>
      <c r="E510" s="2351"/>
      <c r="F510" s="2351"/>
      <c r="G510" s="2366">
        <f>'Part IV-A-Uses of Funds'!G74</f>
        <v>27500</v>
      </c>
      <c r="H510" s="2366">
        <f>'Part IV-A-Uses of Funds'!H74</f>
        <v>0</v>
      </c>
      <c r="I510" s="2351"/>
      <c r="J510" s="2366">
        <f>'Part IV-A-Uses of Funds'!J74</f>
        <v>27500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7500</v>
      </c>
      <c r="H511" s="2366">
        <f>'Part IV-A-Uses of Funds'!H75</f>
        <v>0</v>
      </c>
      <c r="I511" s="2351"/>
      <c r="J511" s="2366">
        <f>'Part IV-A-Uses of Funds'!J75</f>
        <v>7500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448100</v>
      </c>
      <c r="H513" s="2366"/>
      <c r="I513" s="2351"/>
      <c r="J513" s="2366">
        <f>SUM(J502:K512)</f>
        <v>448100</v>
      </c>
      <c r="K513" s="2366"/>
      <c r="L513" s="2381"/>
      <c r="M513" s="2366">
        <f>SUM(M502:N512)</f>
        <v>0</v>
      </c>
      <c r="N513" s="2366"/>
      <c r="O513" s="2351"/>
      <c r="P513" s="2366">
        <f>SUM(P502:Q512)</f>
        <v>0</v>
      </c>
      <c r="Q513" s="2366"/>
      <c r="R513" s="2351"/>
      <c r="S513" s="2366">
        <f>SUM(S502:T512)</f>
        <v>0</v>
      </c>
      <c r="T513" s="2366"/>
      <c r="U513" s="2351"/>
      <c r="V513" s="2465">
        <f>SUM(V502:V512)</f>
        <v>0</v>
      </c>
      <c r="W513" s="1329"/>
      <c r="X513" s="1329"/>
    </row>
    <row r="514" spans="1:24">
      <c r="A514" s="2351"/>
      <c r="B514" s="2348" t="s">
        <v>1281</v>
      </c>
      <c r="C514" s="2351"/>
      <c r="D514" s="2493" t="s">
        <v>3762</v>
      </c>
      <c r="E514" s="2494">
        <f>G519/'Part VI-Revenues &amp; Expenses'!$O$62</f>
        <v>4576.416666666667</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17862</v>
      </c>
      <c r="H515" s="2366">
        <f>'Part IV-A-Uses of Funds'!H79</f>
        <v>0</v>
      </c>
      <c r="I515" s="2351"/>
      <c r="J515" s="2366">
        <f>'Part IV-A-Uses of Funds'!J79</f>
        <v>17862</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f>'Part IV-A-Uses of Funds'!E81</f>
        <v>0</v>
      </c>
      <c r="F517" s="2351"/>
      <c r="G517" s="2366">
        <f>'Part IV-A-Uses of Funds'!G81</f>
        <v>150310</v>
      </c>
      <c r="H517" s="2366">
        <f>'Part IV-A-Uses of Funds'!H81</f>
        <v>0</v>
      </c>
      <c r="I517" s="2358"/>
      <c r="J517" s="2366">
        <f>'Part IV-A-Uses of Funds'!J81</f>
        <v>150310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f>'Part IV-A-Uses of Funds'!E82</f>
        <v>0</v>
      </c>
      <c r="F518" s="2351"/>
      <c r="G518" s="2366">
        <f>'Part IV-A-Uses of Funds'!G82</f>
        <v>161330</v>
      </c>
      <c r="H518" s="2366">
        <f>'Part IV-A-Uses of Funds'!H82</f>
        <v>0</v>
      </c>
      <c r="I518" s="2358"/>
      <c r="J518" s="2366">
        <f>'Part IV-A-Uses of Funds'!J82</f>
        <v>161330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329502</v>
      </c>
      <c r="H519" s="2366"/>
      <c r="I519" s="2351"/>
      <c r="J519" s="2366">
        <f>SUM(J515:K518)</f>
        <v>329502</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3000</v>
      </c>
      <c r="H521" s="2366">
        <f>'Part IV-A-Uses of Funds'!H85</f>
        <v>0</v>
      </c>
      <c r="I521" s="2351"/>
      <c r="J521" s="2366"/>
      <c r="K521" s="2366"/>
      <c r="L521" s="2381"/>
      <c r="M521" s="2366"/>
      <c r="N521" s="2366"/>
      <c r="O521" s="2351"/>
      <c r="P521" s="2366"/>
      <c r="Q521" s="2366"/>
      <c r="R521" s="2351"/>
      <c r="S521" s="2366">
        <f>'Part IV-A-Uses of Funds'!S85</f>
        <v>3000</v>
      </c>
      <c r="T521" s="2366">
        <f>'Part IV-A-Uses of Funds'!T85</f>
        <v>0</v>
      </c>
      <c r="U521" s="2351"/>
      <c r="V521" s="2465"/>
      <c r="W521" s="1329"/>
      <c r="X521" s="1329"/>
    </row>
    <row r="522" spans="1:24">
      <c r="A522" s="2351"/>
      <c r="B522" s="2351" t="s">
        <v>1287</v>
      </c>
      <c r="C522" s="2351"/>
      <c r="D522" s="2351"/>
      <c r="E522" s="2351"/>
      <c r="F522" s="2351"/>
      <c r="G522" s="2366">
        <f>'Part IV-A-Uses of Funds'!G86</f>
        <v>5000</v>
      </c>
      <c r="H522" s="2366">
        <f>'Part IV-A-Uses of Funds'!H86</f>
        <v>0</v>
      </c>
      <c r="I522" s="2351"/>
      <c r="J522" s="2366"/>
      <c r="K522" s="2366"/>
      <c r="L522" s="2381"/>
      <c r="M522" s="2366"/>
      <c r="N522" s="2366"/>
      <c r="O522" s="2351"/>
      <c r="P522" s="2366"/>
      <c r="Q522" s="2366"/>
      <c r="R522" s="2351"/>
      <c r="S522" s="2366">
        <f>'Part IV-A-Uses of Funds'!S86</f>
        <v>5000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8000</v>
      </c>
      <c r="H527" s="2366"/>
      <c r="I527" s="2351"/>
      <c r="J527" s="2366"/>
      <c r="K527" s="2366"/>
      <c r="L527" s="2381"/>
      <c r="M527" s="2366"/>
      <c r="N527" s="2366"/>
      <c r="O527" s="2351"/>
      <c r="P527" s="2366"/>
      <c r="Q527" s="2366"/>
      <c r="R527" s="2351"/>
      <c r="S527" s="2366">
        <f>SUM(S521:T526)</f>
        <v>8000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4785</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3982</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68000</v>
      </c>
      <c r="F535" s="2498"/>
      <c r="G535" s="2366">
        <f>'Part IV-A-Uses of Funds'!G99</f>
        <v>68000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68000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536" s="2498"/>
      <c r="G536" s="2366">
        <f>'Part IV-A-Uses of Funds'!G100</f>
        <v>57600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57600</v>
      </c>
      <c r="T536" s="2366">
        <f>'Part IV-A-Uses of Funds'!T100</f>
        <v>0</v>
      </c>
      <c r="U536" s="2351"/>
      <c r="V536" s="2465"/>
      <c r="W536" s="1329"/>
      <c r="X536" s="1329"/>
    </row>
    <row r="537" spans="1:24">
      <c r="A537" s="2351"/>
      <c r="B537" s="2351" t="s">
        <v>4294</v>
      </c>
      <c r="C537" s="2351"/>
      <c r="D537" s="2351"/>
      <c r="E537" s="2351"/>
      <c r="F537" s="2500">
        <f>'DCA Underwriting Assumptions'!$Q$90</f>
        <v>3000</v>
      </c>
      <c r="G537" s="2366">
        <f>'Part IV-A-Uses of Funds'!G101</f>
        <v>0</v>
      </c>
      <c r="H537" s="2366">
        <f>'Part IV-A-Uses of Funds'!H101</f>
        <v>0</v>
      </c>
      <c r="I537" s="2351"/>
      <c r="J537" s="2358"/>
      <c r="K537" s="2358"/>
      <c r="L537" s="2358"/>
      <c r="M537" s="2358"/>
      <c r="N537" s="2358"/>
      <c r="O537" s="2358"/>
      <c r="P537" s="2358"/>
      <c r="Q537" s="2358"/>
      <c r="R537" s="2351"/>
      <c r="S537" s="2366">
        <f>'Part IV-A-Uses of Funds'!S101</f>
        <v>0</v>
      </c>
      <c r="T537" s="2366">
        <f>'Part IV-A-Uses of Funds'!T101</f>
        <v>0</v>
      </c>
      <c r="U537" s="2351"/>
      <c r="V537" s="2465"/>
      <c r="W537" s="1329"/>
      <c r="X537" s="1329"/>
    </row>
    <row r="538" spans="1:24">
      <c r="A538" s="2351"/>
      <c r="B538" s="2351" t="s">
        <v>4295</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135100</v>
      </c>
      <c r="H541" s="2366"/>
      <c r="I541" s="2351"/>
      <c r="J541" s="2381"/>
      <c r="K541" s="2381"/>
      <c r="L541" s="2381"/>
      <c r="M541" s="2381"/>
      <c r="N541" s="2381"/>
      <c r="O541" s="2351"/>
      <c r="P541" s="2381"/>
      <c r="Q541" s="2381"/>
      <c r="R541" s="2351"/>
      <c r="S541" s="2366">
        <f>SUM(S532:T540)</f>
        <v>135100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3000</v>
      </c>
      <c r="H543" s="2366">
        <f>'Part IV-A-Uses of Funds'!H107</f>
        <v>0</v>
      </c>
      <c r="I543" s="2351"/>
      <c r="J543" s="2366"/>
      <c r="K543" s="2366"/>
      <c r="L543" s="2381"/>
      <c r="M543" s="2366"/>
      <c r="N543" s="2366"/>
      <c r="O543" s="2351"/>
      <c r="P543" s="2366"/>
      <c r="Q543" s="2366"/>
      <c r="R543" s="2351"/>
      <c r="S543" s="2366">
        <f>'Part IV-A-Uses of Funds'!S107</f>
        <v>3000</v>
      </c>
      <c r="T543" s="2366">
        <f>'Part IV-A-Uses of Funds'!T107</f>
        <v>0</v>
      </c>
      <c r="U543" s="2351"/>
      <c r="V543" s="2465"/>
      <c r="W543" s="1329"/>
      <c r="X543" s="1329"/>
    </row>
    <row r="544" spans="1:24">
      <c r="A544" s="2351"/>
      <c r="B544" s="2351" t="s">
        <v>282</v>
      </c>
      <c r="C544" s="2351"/>
      <c r="D544" s="2351"/>
      <c r="E544" s="2351"/>
      <c r="F544" s="2351"/>
      <c r="G544" s="2366">
        <f>'Part IV-A-Uses of Funds'!G108</f>
        <v>5000</v>
      </c>
      <c r="H544" s="2366">
        <f>'Part IV-A-Uses of Funds'!H108</f>
        <v>0</v>
      </c>
      <c r="I544" s="2351"/>
      <c r="J544" s="2366"/>
      <c r="K544" s="2366"/>
      <c r="L544" s="2381"/>
      <c r="M544" s="2366"/>
      <c r="N544" s="2366"/>
      <c r="O544" s="2351"/>
      <c r="P544" s="2366"/>
      <c r="Q544" s="2366"/>
      <c r="R544" s="2351"/>
      <c r="S544" s="2366">
        <f>'Part IV-A-Uses of Funds'!S108</f>
        <v>5000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8000</v>
      </c>
      <c r="H547" s="2366"/>
      <c r="I547" s="2351"/>
      <c r="J547" s="2366"/>
      <c r="K547" s="2366"/>
      <c r="L547" s="2381"/>
      <c r="M547" s="2366"/>
      <c r="N547" s="2366"/>
      <c r="O547" s="2351"/>
      <c r="P547" s="2366"/>
      <c r="Q547" s="2366"/>
      <c r="R547" s="2351"/>
      <c r="S547" s="2366">
        <f>SUM(S543:T546)</f>
        <v>8000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314000</v>
      </c>
      <c r="H549" s="2366">
        <f>'Part IV-A-Uses of Funds'!H113</f>
        <v>0</v>
      </c>
      <c r="I549" s="2351"/>
      <c r="J549" s="2366">
        <f>'Part IV-A-Uses of Funds'!J113</f>
        <v>314000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4247</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3659</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1256000</v>
      </c>
      <c r="H553" s="2366">
        <f>'Part IV-A-Uses of Funds'!H117</f>
        <v>0</v>
      </c>
      <c r="I553" s="2351"/>
      <c r="J553" s="2366">
        <f>'Part IV-A-Uses of Funds'!J117</f>
        <v>1256000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1570000</v>
      </c>
      <c r="H554" s="2366"/>
      <c r="I554" s="2351"/>
      <c r="J554" s="2366">
        <f>SUM(J549:K553)</f>
        <v>1570000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20000</v>
      </c>
      <c r="H556" s="2366">
        <f>'Part IV-A-Uses of Funds'!H120</f>
        <v>0</v>
      </c>
      <c r="I556" s="2351"/>
      <c r="J556" s="2497"/>
      <c r="K556" s="2497"/>
      <c r="L556" s="2497"/>
      <c r="M556" s="2497"/>
      <c r="N556" s="2497"/>
      <c r="O556" s="2351"/>
      <c r="P556" s="2497"/>
      <c r="Q556" s="2497"/>
      <c r="R556" s="2351"/>
      <c r="S556" s="2366">
        <f>'Part IV-A-Uses of Funds'!S120</f>
        <v>20000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84150</v>
      </c>
      <c r="G557" s="2366">
        <f>'Part IV-A-Uses of Funds'!G121</f>
        <v>84150</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84150</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245665.54219856631</v>
      </c>
      <c r="G558" s="2366">
        <f>'Part IV-A-Uses of Funds'!G122</f>
        <v>246829.20055012868</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246829.20055012868</v>
      </c>
      <c r="T558" s="2366">
        <f>'Part IV-A-Uses of Funds'!T122</f>
        <v>0</v>
      </c>
      <c r="U558" s="2351"/>
      <c r="V558" s="2465"/>
      <c r="W558" s="1329"/>
      <c r="X558" s="1329"/>
    </row>
    <row r="559" spans="1:24">
      <c r="A559" s="2351"/>
      <c r="B559" s="2351" t="s">
        <v>1256</v>
      </c>
      <c r="C559" s="2351"/>
      <c r="D559" s="2351"/>
      <c r="E559" s="2351"/>
      <c r="F559" s="2351"/>
      <c r="G559" s="2366">
        <f>'Part IV-A-Uses of Funds'!G123</f>
        <v>8000</v>
      </c>
      <c r="H559" s="2366">
        <f>'Part IV-A-Uses of Funds'!H123</f>
        <v>0</v>
      </c>
      <c r="I559" s="2351"/>
      <c r="J559" s="2497"/>
      <c r="K559" s="2497"/>
      <c r="L559" s="2497"/>
      <c r="M559" s="2497"/>
      <c r="N559" s="2497"/>
      <c r="O559" s="2351"/>
      <c r="P559" s="2497"/>
      <c r="Q559" s="2497"/>
      <c r="R559" s="2351"/>
      <c r="S559" s="2366">
        <f>'Part IV-A-Uses of Funds'!S123</f>
        <v>8000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793.05555555555554</v>
      </c>
      <c r="G560" s="2366">
        <f>'Part IV-A-Uses of Funds'!G124</f>
        <v>57100</v>
      </c>
      <c r="H560" s="2366">
        <f>'Part IV-A-Uses of Funds'!H124</f>
        <v>0</v>
      </c>
      <c r="I560" s="2351"/>
      <c r="J560" s="2366">
        <f>'Part IV-A-Uses of Funds'!J124</f>
        <v>57100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416079.20055012871</v>
      </c>
      <c r="H562" s="2366"/>
      <c r="I562" s="2351"/>
      <c r="J562" s="2366">
        <f>SUM(J560:K561)</f>
        <v>57100</v>
      </c>
      <c r="K562" s="2366"/>
      <c r="L562" s="2381"/>
      <c r="M562" s="2366">
        <f>SUM(M560:N561)</f>
        <v>0</v>
      </c>
      <c r="N562" s="2366"/>
      <c r="O562" s="2351"/>
      <c r="P562" s="2366">
        <f>SUM(P560:Q561)</f>
        <v>0</v>
      </c>
      <c r="Q562" s="2366"/>
      <c r="R562" s="2351"/>
      <c r="S562" s="2366">
        <f>SUM(S556:T561)</f>
        <v>358979.20055012871</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13752</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13752</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13752</v>
      </c>
      <c r="H566" s="2366"/>
      <c r="I566" s="2351"/>
      <c r="J566" s="2366">
        <f>SUM(J564:K565)</f>
        <v>0</v>
      </c>
      <c r="K566" s="2366"/>
      <c r="L566" s="2381"/>
      <c r="M566" s="2366">
        <f>SUM(M564:N565)</f>
        <v>0</v>
      </c>
      <c r="N566" s="2366"/>
      <c r="O566" s="2351"/>
      <c r="P566" s="2366">
        <f>SUM(P564:Q565)</f>
        <v>0</v>
      </c>
      <c r="Q566" s="2366"/>
      <c r="R566" s="2351"/>
      <c r="S566" s="2366">
        <f>SUM(S564:T565)</f>
        <v>13752</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4786</v>
      </c>
      <c r="C568" s="2351"/>
      <c r="D568" s="2351"/>
      <c r="E568" s="2351"/>
      <c r="F568" s="2351"/>
      <c r="G568" s="2507">
        <f>G453+G459+G463+G469+G474+G477+G483+G500+G513+G519+G527+G541+G547+G554+G562+G566</f>
        <v>13449266.200550128</v>
      </c>
      <c r="H568" s="2507"/>
      <c r="I568" s="2351"/>
      <c r="J568" s="2507">
        <f>J453+J459+J463+J469+J474+J477+J483+J500+J513+J519+J527+J541+J547+J554+J562+J566</f>
        <v>11596198</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1853070.2005501287</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4787</v>
      </c>
      <c r="C570" s="2480"/>
      <c r="D570" s="2509">
        <f>IF('Part VI-Revenues &amp; Expenses'!$O$62=0,0,G568/'Part VI-Revenues &amp; Expenses'!$O$62)</f>
        <v>186795.36389652954</v>
      </c>
      <c r="E570" s="2509"/>
      <c r="F570" s="2496" t="s">
        <v>2781</v>
      </c>
      <c r="G570" s="2509">
        <f>IF('Part I-Project Information'!$P$71=0,0,G568/'Part I-Project Information'!$P$71)</f>
        <v>198.89479740535535</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11596198</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11596198</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11596198</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0.86039296794208897</v>
      </c>
      <c r="K590" s="2515"/>
      <c r="L590" s="2351"/>
      <c r="M590" s="2515">
        <f>MIN('Part VI-Revenues &amp; Expenses'!$O$58/'Part VI-Revenues &amp; Expenses'!$O$60,'Part VI-Revenues &amp; Expenses'!$O$115/'Part VI-Revenues &amp; Expenses'!$O$117)</f>
        <v>0.86039296794208897</v>
      </c>
      <c r="N590" s="2515"/>
      <c r="O590" s="2351"/>
      <c r="P590" s="2515">
        <f>MIN('Part VI-Revenues &amp; Expenses'!$O$58/'Part VI-Revenues &amp; Expenses'!$O$60,'Part VI-Revenues &amp; Expenses'!$O$115/'Part VI-Revenues &amp; Expenses'!$O$117)</f>
        <v>0.86039296794208897</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9977287.2140641157</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3.2800000000000003E-2</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897955.8492657704</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897955.8492657704</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4788</v>
      </c>
      <c r="C598" s="2351"/>
      <c r="D598" s="2351"/>
      <c r="E598" s="2351"/>
      <c r="F598" s="2351"/>
      <c r="G598" s="2474" t="str">
        <f>IF(J599&gt;J598,"TDC exceeds QAP PUCL!","")</f>
        <v/>
      </c>
      <c r="H598" s="2474"/>
      <c r="I598" s="2474"/>
      <c r="J598" s="2444">
        <f>'Part VIII-Threshold Criteria'!$P$63</f>
        <v>13450872</v>
      </c>
      <c r="K598" s="2444"/>
      <c r="L598" s="2444"/>
      <c r="M598" s="2518" t="s">
        <v>2764</v>
      </c>
      <c r="N598" s="2518"/>
      <c r="O598" s="2518"/>
      <c r="P598" s="2518"/>
      <c r="Q598" s="2518"/>
      <c r="R598" s="2518"/>
      <c r="S598" s="2518" t="s">
        <v>3700</v>
      </c>
      <c r="T598" s="2518"/>
      <c r="U598" s="2351"/>
      <c r="V598" s="2465"/>
      <c r="W598" s="1329"/>
      <c r="X598" s="1329"/>
    </row>
    <row r="599" spans="1:24">
      <c r="A599" s="2351"/>
      <c r="B599" s="2351" t="s">
        <v>4789</v>
      </c>
      <c r="C599" s="2351"/>
      <c r="D599" s="2351"/>
      <c r="E599" s="2351"/>
      <c r="F599" s="2351"/>
      <c r="G599" s="2351"/>
      <c r="H599" s="2351"/>
      <c r="I599" s="2351"/>
      <c r="J599" s="2387">
        <f>'Part IV-A-Uses of Funds'!J163</f>
        <v>13449266.200550128</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2500110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10949156.200550128</v>
      </c>
      <c r="K601" s="2387"/>
      <c r="L601" s="2387"/>
      <c r="M601" s="2363" t="s">
        <v>2765</v>
      </c>
      <c r="N601" s="2363"/>
      <c r="O601" s="2519">
        <f>'Part III-Sources of Funds'!$I$41</f>
        <v>0</v>
      </c>
      <c r="P601" s="2519"/>
      <c r="Q601" s="2519"/>
      <c r="R601" s="2519"/>
      <c r="S601" s="2520" t="s">
        <v>1675</v>
      </c>
      <c r="T601" s="2521" t="str">
        <f>'Part IV-A-Uses of Funds'!T165</f>
        <v>No</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1094915.6200550129</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4790</v>
      </c>
      <c r="C604" s="2351"/>
      <c r="D604" s="2351"/>
      <c r="E604" s="2351"/>
      <c r="F604" s="2351"/>
      <c r="G604" s="2351"/>
      <c r="H604" s="2351"/>
      <c r="I604" s="2351"/>
      <c r="J604" s="2522">
        <f>N604+Q604</f>
        <v>1.2875000000000001</v>
      </c>
      <c r="K604" s="2522"/>
      <c r="L604" s="2522"/>
      <c r="M604" s="2356" t="s">
        <v>1301</v>
      </c>
      <c r="N604" s="2523">
        <f>'Part IV-A-Uses of Funds'!N168</f>
        <v>0.89749999999999996</v>
      </c>
      <c r="O604" s="2523">
        <f>'Part IV-A-Uses of Funds'!O168</f>
        <v>0</v>
      </c>
      <c r="P604" s="2356" t="s">
        <v>618</v>
      </c>
      <c r="Q604" s="2523">
        <f>'Part IV-A-Uses of Funds'!Q168</f>
        <v>0.39</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850419.89907185466</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4791</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4792</v>
      </c>
      <c r="C609" s="2351"/>
      <c r="D609" s="2351"/>
      <c r="E609" s="2351"/>
      <c r="F609" s="2351"/>
      <c r="G609" s="2351"/>
      <c r="H609" s="2351"/>
      <c r="I609" s="2351"/>
      <c r="J609" s="2446">
        <f>'Part IV-A-Uses of Funds'!J173</f>
        <v>850000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4793</v>
      </c>
      <c r="C611" s="2351"/>
      <c r="D611" s="2358"/>
      <c r="E611" s="2358"/>
      <c r="F611" s="2359"/>
      <c r="G611" s="2351"/>
      <c r="H611" s="2351"/>
      <c r="I611" s="2351"/>
      <c r="J611" s="2446">
        <f>IF(J609="",0,+MIN(J607,J609))</f>
        <v>850000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To all applicants: in addition to your other comments, please provide methodology for determining applicable construction hard costs.
The building envelope will be built to comply with the noise standards indicated in the QAP.  An Architect letter has been included to address the noise remediation measures to be taken as item 070800PksWayIINseLtr in Tab 7.
The Furniture Fixture &amp; Equipment line item includes the following items:  Office/Common Area furnishings, Computers, Security Costs, Submeters, Wellness Center Equipmen, Community Garden Equipment  &amp; Fixtures.
Construction Hard Costs have been estimated based on experience with building similar buildings in similar locations.  An engineer was engaged to provide an opinion of site development costs and vertical construction cost history was compared based on cost per square foot of heated area and gross covered area as well as per unit.</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2018-035 - Peaks of Cartersville  -  Cartersville  -  Bartow,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3740</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4794</v>
      </c>
      <c r="B627" s="2529"/>
      <c r="C627" s="2529"/>
      <c r="D627" s="2529"/>
      <c r="E627" s="2527"/>
      <c r="F627" s="2530" t="s">
        <v>3731</v>
      </c>
      <c r="G627" s="2531"/>
      <c r="H627" s="2530" t="s">
        <v>3732</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Engineer DD &amp; OPC</v>
      </c>
      <c r="B631" s="2536"/>
      <c r="C631" s="2536"/>
      <c r="D631" s="2536"/>
      <c r="E631" s="2533"/>
      <c r="F631" s="2537"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31" s="2535"/>
      <c r="H631" s="2537"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3734</v>
      </c>
      <c r="B634" s="2539">
        <f>'Part IV-A-Uses of Funds'!$G$14</f>
        <v>9000</v>
      </c>
      <c r="C634" s="2538" t="s">
        <v>1803</v>
      </c>
      <c r="D634" s="2539">
        <f>'Part IV-A-Uses of Funds'!$J$14+'Part IV-A-Uses of Funds'!$M$14+'Part IV-A-Uses of Funds'!$P$14</f>
        <v>9000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Sewer Capacity Study</v>
      </c>
      <c r="B636" s="2536"/>
      <c r="C636" s="2536"/>
      <c r="D636" s="2536"/>
      <c r="E636" s="2533"/>
      <c r="F636" s="2537" t="str">
        <f>'Part IV-B-Other Items'!F14</f>
        <v>The applicant was required to obtain a sewer capacity letter in order for the City to issue the sewer availability letter as required by the QAP.</v>
      </c>
      <c r="G636" s="2535"/>
      <c r="H636" s="2537" t="str">
        <f>'Part IV-B-Other Items'!H14</f>
        <v>This Third Party Report was used to justify moving forward with the project, and this is an elgible cost.</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3734</v>
      </c>
      <c r="B639" s="2539">
        <f>'Part IV-A-Uses of Funds'!$G$15</f>
        <v>5500</v>
      </c>
      <c r="C639" s="2538" t="s">
        <v>1803</v>
      </c>
      <c r="D639" s="2539">
        <f>'Part IV-A-Uses of Funds'!$J$15+'Part IV-A-Uses of Funds'!$M$15+'Part IV-A-Uses of Funds'!$P$15</f>
        <v>5500</v>
      </c>
      <c r="E639" s="2533"/>
      <c r="F639" s="2537"/>
      <c r="G639" s="2535"/>
      <c r="H639" s="2537"/>
    </row>
    <row r="640" spans="1:8" ht="13.5">
      <c r="A640" s="2535"/>
      <c r="B640" s="2540"/>
      <c r="C640" s="2535"/>
      <c r="D640" s="2535"/>
      <c r="E640" s="2533"/>
      <c r="F640" s="2537"/>
      <c r="G640" s="2541"/>
      <c r="H640" s="2537"/>
    </row>
    <row r="641" spans="1:8" ht="13.5" customHeight="1">
      <c r="A641" s="2536">
        <f>'Part IV-A-Uses of Funds'!$C$16</f>
        <v>0</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3734</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3733</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3734</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Upfront Guarantee Fee (Due at Closing)</v>
      </c>
      <c r="B653" s="2536"/>
      <c r="C653" s="2536"/>
      <c r="D653" s="2536"/>
      <c r="E653" s="2535"/>
      <c r="F653" s="2537" t="str">
        <f>'Part IV-B-Other Items'!F31</f>
        <v>This fee is due at closing for the construction portion of the financing to credit enhance the loan.  It is calculated based on 90% of the loan amount times 1.0%.</v>
      </c>
      <c r="G653" s="2535"/>
      <c r="H653" s="2537" t="str">
        <f>'Part IV-B-Other Items'!H31</f>
        <v>Like other construction costs, this fee should be elgible in tax credit basis.  Rather than including it in Construction Loan Fee, it has been separately listed here.</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3734</v>
      </c>
      <c r="B656" s="2539">
        <f>'Part IV-A-Uses of Funds'!$G$62</f>
        <v>22500</v>
      </c>
      <c r="C656" s="2538" t="s">
        <v>1803</v>
      </c>
      <c r="D656" s="2539">
        <f>'Part IV-A-Uses of Funds'!$J$62+'Part IV-A-Uses of Funds'!$M$62+'Part IV-A-Uses of Funds'!$P$62</f>
        <v>22500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Annual Guarantee Fee (During Construction)</v>
      </c>
      <c r="B658" s="2536"/>
      <c r="C658" s="2536"/>
      <c r="D658" s="2536"/>
      <c r="E658" s="2535"/>
      <c r="F658" s="2537" t="str">
        <f>'Part IV-B-Other Items'!F36</f>
        <v>USDA Requires an Annual Guaranty Fee be paid each year the loan is outstanding, based on the current amount of the loan at 12/31 of each year.  The fee is calculated at 0.50% of the Loan Amount.</v>
      </c>
      <c r="G658" s="2535"/>
      <c r="H658" s="2537" t="str">
        <f>'Part IV-B-Other Items'!H36</f>
        <v>Like other construction costs, this fee should be elgible in tax credit basis.  Rather than including it in Construction Loan Fee, it has been separately listed here.</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3734</v>
      </c>
      <c r="B661" s="2539">
        <f>'Part IV-A-Uses of Funds'!$G$63</f>
        <v>12500</v>
      </c>
      <c r="C661" s="2538" t="s">
        <v>1803</v>
      </c>
      <c r="D661" s="2539">
        <f>'Part IV-A-Uses of Funds'!$J$63+'Part IV-A-Uses of Funds'!$M$63+'Part IV-A-Uses of Funds'!$P$63</f>
        <v>12500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3734</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3734</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4795</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3734</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3734</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4796</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3734</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3734</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4797</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3734</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2018-035 Peaks of Cartersville,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3832</v>
      </c>
    </row>
    <row r="716" spans="1:13" ht="25.5">
      <c r="A716" s="2547" t="s">
        <v>622</v>
      </c>
      <c r="B716" s="2547" t="s">
        <v>2243</v>
      </c>
      <c r="F716" s="683" t="s">
        <v>2536</v>
      </c>
      <c r="I716" s="2548" t="str">
        <f>'Part V-Utility Allowances'!I7</f>
        <v>Elevator/High Rise</v>
      </c>
      <c r="J716" s="2548"/>
      <c r="K716" s="2548"/>
      <c r="L716" s="2548"/>
      <c r="M716" s="2548"/>
    </row>
    <row r="717" spans="1:13">
      <c r="A717" s="2547"/>
      <c r="F717" s="683" t="s">
        <v>642</v>
      </c>
      <c r="I717" s="2549">
        <f>'Part V-Utility Allowances'!I8</f>
        <v>43101</v>
      </c>
      <c r="J717" s="2549">
        <f>'Part V-Utility Allowances'!J8</f>
        <v>0</v>
      </c>
      <c r="K717" s="2550" t="s">
        <v>545</v>
      </c>
      <c r="L717" s="2442">
        <f>'Part V-Utility Allowances'!L8</f>
        <v>0</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v>
      </c>
      <c r="E721" s="2442">
        <f>'Part V-Utility Allowances'!E12</f>
        <v>0</v>
      </c>
      <c r="F721" s="2553" t="str">
        <f>'Part V-Utility Allowances'!F12</f>
        <v>X</v>
      </c>
      <c r="G721" s="2553">
        <f>'Part V-Utility Allowances'!G12</f>
        <v>0</v>
      </c>
      <c r="I721" s="2550">
        <f>'Part V-Utility Allowances'!I12</f>
        <v>8</v>
      </c>
      <c r="J721" s="2550">
        <f>'Part V-Utility Allowances'!J12</f>
        <v>9</v>
      </c>
      <c r="K721" s="2550">
        <f>'Part V-Utility Allowances'!K12</f>
        <v>11</v>
      </c>
      <c r="L721" s="2550">
        <f>'Part V-Utility Allowances'!L12</f>
        <v>16</v>
      </c>
      <c r="M721" s="2550">
        <f>'Part V-Utility Allowances'!M12</f>
        <v>20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5</v>
      </c>
      <c r="J722" s="2550">
        <f>'Part V-Utility Allowances'!J13</f>
        <v>8</v>
      </c>
      <c r="K722" s="2550">
        <f>'Part V-Utility Allowances'!K13</f>
        <v>10</v>
      </c>
      <c r="L722" s="2550">
        <f>'Part V-Utility Allowances'!L13</f>
        <v>12</v>
      </c>
      <c r="M722" s="2550">
        <f>'Part V-Utility Allowances'!M13</f>
        <v>15</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9</v>
      </c>
      <c r="J723" s="2550">
        <f>'Part V-Utility Allowances'!J14</f>
        <v>14</v>
      </c>
      <c r="K723" s="2550">
        <f>'Part V-Utility Allowances'!K14</f>
        <v>19</v>
      </c>
      <c r="L723" s="2550">
        <f>'Part V-Utility Allowances'!L14</f>
        <v>24</v>
      </c>
      <c r="M723" s="2550">
        <f>'Part V-Utility Allowances'!M14</f>
        <v>29</v>
      </c>
    </row>
    <row r="724" spans="1:13">
      <c r="B724" s="683" t="s">
        <v>471</v>
      </c>
      <c r="D724" s="683" t="s">
        <v>1608</v>
      </c>
      <c r="F724" s="2553" t="str">
        <f>'Part V-Utility Allowances'!F15</f>
        <v>X</v>
      </c>
      <c r="G724" s="2553">
        <f>'Part V-Utility Allowances'!G15</f>
        <v>0</v>
      </c>
      <c r="I724" s="2550">
        <f>'Part V-Utility Allowances'!I15</f>
        <v>5</v>
      </c>
      <c r="J724" s="2550">
        <f>'Part V-Utility Allowances'!J15</f>
        <v>7</v>
      </c>
      <c r="K724" s="2550">
        <f>'Part V-Utility Allowances'!K15</f>
        <v>9</v>
      </c>
      <c r="L724" s="2550">
        <f>'Part V-Utility Allowances'!L15</f>
        <v>12</v>
      </c>
      <c r="M724" s="2550">
        <f>'Part V-Utility Allowances'!M15</f>
        <v>14</v>
      </c>
    </row>
    <row r="725" spans="1:13">
      <c r="B725" s="683" t="s">
        <v>3829</v>
      </c>
      <c r="D725" s="683" t="s">
        <v>1608</v>
      </c>
      <c r="F725" s="2553" t="str">
        <f>'Part V-Utility Allowances'!F16</f>
        <v>X</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3830</v>
      </c>
      <c r="D726" s="683" t="s">
        <v>1608</v>
      </c>
      <c r="F726" s="2553" t="str">
        <f>'Part V-Utility Allowances'!F17</f>
        <v>X</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3831</v>
      </c>
      <c r="D727" s="683" t="s">
        <v>1608</v>
      </c>
      <c r="F727" s="2553" t="str">
        <f>'Part V-Utility Allowances'!F18</f>
        <v>X</v>
      </c>
      <c r="G727" s="2553">
        <f>'Part V-Utility Allowances'!G18</f>
        <v>0</v>
      </c>
      <c r="I727" s="2550">
        <f>'Part V-Utility Allowances'!I18</f>
        <v>15</v>
      </c>
      <c r="J727" s="2550">
        <f>'Part V-Utility Allowances'!J18</f>
        <v>22</v>
      </c>
      <c r="K727" s="2550">
        <f>'Part V-Utility Allowances'!K18</f>
        <v>28</v>
      </c>
      <c r="L727" s="2550">
        <f>'Part V-Utility Allowances'!L18</f>
        <v>34</v>
      </c>
      <c r="M727" s="2550">
        <f>'Part V-Utility Allowances'!M18</f>
        <v>43</v>
      </c>
    </row>
    <row r="728" spans="1:13">
      <c r="B728" s="683" t="s">
        <v>1382</v>
      </c>
      <c r="D728" s="683" t="s">
        <v>4540</v>
      </c>
      <c r="E728" s="2550" t="str">
        <f>'Part V-Utility Allowances'!E19</f>
        <v>Yes</v>
      </c>
      <c r="F728" s="2553" t="str">
        <f>'Part V-Utility Allowances'!F19</f>
        <v>X</v>
      </c>
      <c r="G728" s="2553">
        <f>'Part V-Utility Allowances'!G19</f>
        <v>0</v>
      </c>
      <c r="I728" s="2550">
        <f>'Part V-Utility Allowances'!I19</f>
        <v>36</v>
      </c>
      <c r="J728" s="2550">
        <f>'Part V-Utility Allowances'!J19</f>
        <v>43</v>
      </c>
      <c r="K728" s="2550">
        <f>'Part V-Utility Allowances'!K19</f>
        <v>51</v>
      </c>
      <c r="L728" s="2550">
        <f>'Part V-Utility Allowances'!L19</f>
        <v>63</v>
      </c>
      <c r="M728" s="2550">
        <f>'Part V-Utility Allowances'!M19</f>
        <v>76</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78</v>
      </c>
      <c r="J730" s="2552">
        <f>IF(SUM(J721:J729)=0,0,IF(OR($D721="&lt;&lt;Select Fuel &gt;&gt;",$D722="&lt;&lt;Select Fuel &gt;&gt;",$D723="&lt;&lt;Select Fuel &gt;&gt;"),"Select Fuel",IF($E728="&lt;Select&gt;","Submeter?",SUM(J721:J729))))</f>
        <v>103</v>
      </c>
      <c r="K730" s="2552">
        <f>IF(SUM(K721:K729)=0,0,IF(OR($D721="&lt;&lt;Select Fuel &gt;&gt;",$D722="&lt;&lt;Select Fuel &gt;&gt;",$D723="&lt;&lt;Select Fuel &gt;&gt;"),"Select Fuel",IF($E728="&lt;Select&gt;","Submeter?",SUM(K721:K729))))</f>
        <v>128</v>
      </c>
      <c r="L730" s="2552">
        <f>IF(SUM(L721:L729)=0,0,IF(OR($D721="&lt;&lt;Select Fuel &gt;&gt;",$D722="&lt;&lt;Select Fuel &gt;&gt;",$D723="&lt;&lt;Select Fuel &gt;&gt;"),"Select Fuel",IF($E728="&lt;Select&gt;","Submeter?",SUM(L721:L729))))</f>
        <v>161</v>
      </c>
      <c r="M730" s="2552">
        <f>IF(SUM(M721:M729)=0,0,IF(OR($D721="&lt;&lt;Select Fuel &gt;&gt;",$D722="&lt;&lt;Select Fuel &gt;&gt;",$D723="&lt;&lt;Select Fuel &gt;&gt;"),"Select Fuel",IF($E728="&lt;Select&gt;","Submeter?",SUM(M721:M729))))</f>
        <v>197</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3829</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3830</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3831</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4540</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4541</v>
      </c>
      <c r="F748" s="2550"/>
      <c r="G748" s="2550"/>
      <c r="I748" s="2552"/>
      <c r="J748" s="2552"/>
      <c r="K748" s="2552"/>
      <c r="L748" s="2552"/>
      <c r="M748" s="2552"/>
    </row>
    <row r="749" spans="1:13">
      <c r="A749" s="2547"/>
      <c r="B749" s="2547" t="s">
        <v>577</v>
      </c>
    </row>
    <row r="750" spans="1:13" ht="84">
      <c r="B750" s="1329" t="str">
        <f>'Part V-Utility Allowances'!B41</f>
        <v>We are using the Georgia North Elevator/High Rise Utility Allowances.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2018-035 Peaks of Cartersville,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2018-035 Peaks of Cartersville,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4798</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f>'Part VI-Revenues &amp; Expenses'!F6</f>
        <v>0</v>
      </c>
      <c r="G763" s="2562" t="s">
        <v>3690</v>
      </c>
      <c r="H763" s="2558" t="s">
        <v>3918</v>
      </c>
      <c r="I763" s="2562" t="s">
        <v>807</v>
      </c>
      <c r="J763" s="2562" t="s">
        <v>3693</v>
      </c>
      <c r="K763" s="2560"/>
      <c r="L763" s="2560"/>
      <c r="M763" s="2565" t="str">
        <f>'Part I-Project Information'!$O$40</f>
        <v>Atlanta-Sandy Springs-Marietta</v>
      </c>
      <c r="N763" s="2565"/>
      <c r="O763" s="2566">
        <f>VLOOKUP('Part I-Project Information'!$O$40,'DCA Underwriting Assumptions'!$C$155:$D$265,2)</f>
        <v>69700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3691</v>
      </c>
      <c r="H764" s="2558"/>
      <c r="I764" s="2518" t="s">
        <v>3878</v>
      </c>
      <c r="J764" s="2562" t="s">
        <v>3694</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3691</v>
      </c>
      <c r="I765" s="2518"/>
      <c r="J765" s="2562" t="s">
        <v>4799</v>
      </c>
      <c r="K765" s="2570" t="s">
        <v>146</v>
      </c>
      <c r="L765" s="2570"/>
      <c r="M765" s="2562" t="s">
        <v>2383</v>
      </c>
      <c r="N765" s="2562" t="s">
        <v>537</v>
      </c>
      <c r="O765" s="2562" t="s">
        <v>385</v>
      </c>
      <c r="P765" s="2558"/>
      <c r="Q765" s="2570" t="s">
        <v>3598</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3692</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6</v>
      </c>
      <c r="F767" s="2575">
        <f>'Part VI-Revenues &amp; Expenses'!F10</f>
        <v>726</v>
      </c>
      <c r="G767" s="2575">
        <f>'Part VI-Revenues &amp; Expenses'!G10</f>
        <v>653</v>
      </c>
      <c r="H767" s="2575">
        <f>'Part VI-Revenues &amp; Expenses'!H10</f>
        <v>603</v>
      </c>
      <c r="I767" s="2575">
        <f>'Part VI-Revenues &amp; Expenses'!I10</f>
        <v>103</v>
      </c>
      <c r="J767" s="2576">
        <f>'Part VI-Revenues &amp; Expenses'!J10</f>
        <v>0</v>
      </c>
      <c r="K767" s="2577">
        <f t="shared" ref="K767:K804" si="2">MAX(0,H767-I767)</f>
        <v>500</v>
      </c>
      <c r="L767" s="2577">
        <f t="shared" ref="L767:L804" si="3">MAX(0,E767*K767)</f>
        <v>3000</v>
      </c>
      <c r="M767" s="2451" t="str">
        <f>'Part VI-Revenues &amp; Expenses'!M10</f>
        <v>No</v>
      </c>
      <c r="N767" s="2451" t="str">
        <f>'Part VI-Revenues &amp; Expenses'!N10</f>
        <v>3+ Story</v>
      </c>
      <c r="O767" s="2451" t="str">
        <f>'Part VI-Revenues &amp; Expenses'!O10</f>
        <v>New Construction</v>
      </c>
      <c r="P767" s="2557" t="str">
        <f>'Part VI-Revenues &amp; Expenses'!P10</f>
        <v>No</v>
      </c>
      <c r="Q767" s="2578">
        <f>'Part VI-Revenues &amp; Expenses'!Q10</f>
        <v>24120</v>
      </c>
      <c r="R767" s="2579">
        <f>'Part VI-Revenues &amp; Expenses'!R10</f>
        <v>0.46140602582496415</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6</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4356</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6</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6</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f t="shared" ref="HU767:HU804" si="210">IF(AND($C767=1, $N767="3+ Story",NOT($P767="Yes")),$E767,"")</f>
        <v>6</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6</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2</v>
      </c>
      <c r="E768" s="2575">
        <f>'Part VI-Revenues &amp; Expenses'!E11</f>
        <v>9</v>
      </c>
      <c r="F768" s="2575">
        <f>'Part VI-Revenues &amp; Expenses'!F11</f>
        <v>1001</v>
      </c>
      <c r="G768" s="2575">
        <f>'Part VI-Revenues &amp; Expenses'!G11</f>
        <v>784</v>
      </c>
      <c r="H768" s="2575">
        <f>'Part VI-Revenues &amp; Expenses'!H11</f>
        <v>728</v>
      </c>
      <c r="I768" s="2575">
        <f>'Part VI-Revenues &amp; Expenses'!I11</f>
        <v>128</v>
      </c>
      <c r="J768" s="2576">
        <f>'Part VI-Revenues &amp; Expenses'!J11</f>
        <v>0</v>
      </c>
      <c r="K768" s="2577">
        <f t="shared" si="2"/>
        <v>600</v>
      </c>
      <c r="L768" s="2577">
        <f t="shared" si="3"/>
        <v>5400</v>
      </c>
      <c r="M768" s="2451" t="str">
        <f>'Part VI-Revenues &amp; Expenses'!M11</f>
        <v>No</v>
      </c>
      <c r="N768" s="2451" t="str">
        <f>'Part VI-Revenues &amp; Expenses'!N11</f>
        <v>3+ Story</v>
      </c>
      <c r="O768" s="2451" t="str">
        <f>'Part VI-Revenues &amp; Expenses'!O11</f>
        <v>New Construction</v>
      </c>
      <c r="P768" s="2557" t="str">
        <f>'Part VI-Revenues &amp; Expenses'!P11</f>
        <v>No</v>
      </c>
      <c r="Q768" s="2578">
        <f>'Part VI-Revenues &amp; Expenses'!Q11</f>
        <v>29120</v>
      </c>
      <c r="R768" s="2579">
        <f>'Part VI-Revenues &amp; Expenses'!R11</f>
        <v>0.46421170094053882</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9009</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9</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f t="shared" si="211"/>
        <v>9</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9</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60% AMI</v>
      </c>
      <c r="C769" s="2573">
        <f>'Part VI-Revenues &amp; Expenses'!C12</f>
        <v>1</v>
      </c>
      <c r="D769" s="2574">
        <f>'Part VI-Revenues &amp; Expenses'!D12</f>
        <v>1</v>
      </c>
      <c r="E769" s="2575">
        <f>'Part VI-Revenues &amp; Expenses'!E12</f>
        <v>20</v>
      </c>
      <c r="F769" s="2575">
        <f>'Part VI-Revenues &amp; Expenses'!F12</f>
        <v>726</v>
      </c>
      <c r="G769" s="2575">
        <f>'Part VI-Revenues &amp; Expenses'!G12</f>
        <v>784</v>
      </c>
      <c r="H769" s="2575">
        <f>'Part VI-Revenues &amp; Expenses'!H12</f>
        <v>728</v>
      </c>
      <c r="I769" s="2575">
        <f>'Part VI-Revenues &amp; Expenses'!I12</f>
        <v>103</v>
      </c>
      <c r="J769" s="2576">
        <f>'Part VI-Revenues &amp; Expenses'!J12</f>
        <v>0</v>
      </c>
      <c r="K769" s="2577">
        <f t="shared" si="2"/>
        <v>625</v>
      </c>
      <c r="L769" s="2577">
        <f t="shared" si="3"/>
        <v>12500</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29120</v>
      </c>
      <c r="R769" s="2579">
        <f>'Part VI-Revenues &amp; Expenses'!R12</f>
        <v>0.55705404112864654</v>
      </c>
      <c r="S769" s="2578">
        <f>'Part VI-Revenues &amp; Expenses'!S12</f>
        <v>0</v>
      </c>
      <c r="T769" s="2579">
        <f>'Part VI-Revenues &amp; Expenses'!T12</f>
        <v>0</v>
      </c>
      <c r="U769" s="2501"/>
      <c r="V769" s="2501"/>
      <c r="W769" s="683" t="str">
        <f t="shared" si="4"/>
        <v/>
      </c>
      <c r="X769" s="683">
        <f t="shared" si="5"/>
        <v>20</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14520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20</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20</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f t="shared" si="210"/>
        <v>20</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20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2</v>
      </c>
      <c r="D770" s="2574">
        <f>'Part VI-Revenues &amp; Expenses'!D13</f>
        <v>2</v>
      </c>
      <c r="E770" s="2575">
        <f>'Part VI-Revenues &amp; Expenses'!E13</f>
        <v>27</v>
      </c>
      <c r="F770" s="2575">
        <f>'Part VI-Revenues &amp; Expenses'!F13</f>
        <v>1001</v>
      </c>
      <c r="G770" s="2575">
        <f>'Part VI-Revenues &amp; Expenses'!G13</f>
        <v>941</v>
      </c>
      <c r="H770" s="2575">
        <f>'Part VI-Revenues &amp; Expenses'!H13</f>
        <v>853</v>
      </c>
      <c r="I770" s="2575">
        <f>'Part VI-Revenues &amp; Expenses'!I13</f>
        <v>128</v>
      </c>
      <c r="J770" s="2576">
        <f>'Part VI-Revenues &amp; Expenses'!J13</f>
        <v>0</v>
      </c>
      <c r="K770" s="2577">
        <f t="shared" si="2"/>
        <v>725</v>
      </c>
      <c r="L770" s="2577">
        <f t="shared" si="3"/>
        <v>19575</v>
      </c>
      <c r="M770" s="2451" t="str">
        <f>'Part VI-Revenues &amp; Expenses'!M13</f>
        <v>No</v>
      </c>
      <c r="N770" s="2451" t="str">
        <f>'Part VI-Revenues &amp; Expenses'!N13</f>
        <v>3+ Story</v>
      </c>
      <c r="O770" s="2451" t="str">
        <f>'Part VI-Revenues &amp; Expenses'!O13</f>
        <v>New Construction</v>
      </c>
      <c r="P770" s="2557" t="str">
        <f>'Part VI-Revenues &amp; Expenses'!P13</f>
        <v>No</v>
      </c>
      <c r="Q770" s="2578">
        <f>'Part VI-Revenues &amp; Expenses'!Q13</f>
        <v>34120</v>
      </c>
      <c r="R770" s="2579">
        <f>'Part VI-Revenues &amp; Expenses'!R13</f>
        <v>0.54391838036027418</v>
      </c>
      <c r="S770" s="2578">
        <f>'Part VI-Revenues &amp; Expenses'!S13</f>
        <v>0</v>
      </c>
      <c r="T770" s="2579">
        <f>'Part VI-Revenues &amp; Expenses'!T13</f>
        <v>0</v>
      </c>
      <c r="U770" s="2501"/>
      <c r="V770" s="2501"/>
      <c r="W770" s="683" t="str">
        <f t="shared" si="4"/>
        <v/>
      </c>
      <c r="X770" s="683" t="str">
        <f t="shared" si="5"/>
        <v/>
      </c>
      <c r="Y770" s="683">
        <f t="shared" si="6"/>
        <v>27</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27027</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27</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27</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f t="shared" si="211"/>
        <v>27</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27</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Unrestricted</v>
      </c>
      <c r="C771" s="2573">
        <f>'Part VI-Revenues &amp; Expenses'!C14</f>
        <v>1</v>
      </c>
      <c r="D771" s="2574">
        <f>'Part VI-Revenues &amp; Expenses'!D14</f>
        <v>1</v>
      </c>
      <c r="E771" s="2575">
        <f>'Part VI-Revenues &amp; Expenses'!E14</f>
        <v>4</v>
      </c>
      <c r="F771" s="2575">
        <f>'Part VI-Revenues &amp; Expenses'!F14</f>
        <v>726</v>
      </c>
      <c r="G771" s="2575">
        <f>'Part VI-Revenues &amp; Expenses'!G14</f>
        <v>0</v>
      </c>
      <c r="H771" s="2575">
        <f>'Part VI-Revenues &amp; Expenses'!H14</f>
        <v>750</v>
      </c>
      <c r="I771" s="2575">
        <f>'Part VI-Revenues &amp; Expenses'!I14</f>
        <v>0</v>
      </c>
      <c r="J771" s="2576">
        <f>'Part VI-Revenues &amp; Expenses'!J14</f>
        <v>0</v>
      </c>
      <c r="K771" s="2577">
        <f t="shared" si="2"/>
        <v>750</v>
      </c>
      <c r="L771" s="2577">
        <f t="shared" si="3"/>
        <v>3000</v>
      </c>
      <c r="M771" s="2451" t="str">
        <f>'Part VI-Revenues &amp; Expenses'!M14</f>
        <v>No</v>
      </c>
      <c r="N771" s="2451" t="str">
        <f>'Part VI-Revenues &amp; Expenses'!N14</f>
        <v>3+ Story</v>
      </c>
      <c r="O771" s="2451" t="str">
        <f>'Part VI-Revenues &amp; Expenses'!O14</f>
        <v>New Construction</v>
      </c>
      <c r="P771" s="2557" t="str">
        <f>'Part VI-Revenues &amp; Expenses'!P14</f>
        <v>No</v>
      </c>
      <c r="Q771" s="2578">
        <f>'Part VI-Revenues &amp; Expenses'!Q14</f>
        <v>30000</v>
      </c>
      <c r="R771" s="2579">
        <f>'Part VI-Revenues &amp; Expenses'!R14</f>
        <v>0.57388809182209466</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f t="shared" si="20"/>
        <v>4</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f t="shared" si="75"/>
        <v>2904</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f t="shared" si="95"/>
        <v>4</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f t="shared" si="135"/>
        <v>4</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f t="shared" si="210"/>
        <v>4</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4</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Unrestricted</v>
      </c>
      <c r="C772" s="2573">
        <f>'Part VI-Revenues &amp; Expenses'!C15</f>
        <v>2</v>
      </c>
      <c r="D772" s="2574">
        <f>'Part VI-Revenues &amp; Expenses'!D15</f>
        <v>2</v>
      </c>
      <c r="E772" s="2575">
        <f>'Part VI-Revenues &amp; Expenses'!E15</f>
        <v>6</v>
      </c>
      <c r="F772" s="2575">
        <f>'Part VI-Revenues &amp; Expenses'!F15</f>
        <v>1001</v>
      </c>
      <c r="G772" s="2575">
        <f>'Part VI-Revenues &amp; Expenses'!G15</f>
        <v>0</v>
      </c>
      <c r="H772" s="2575">
        <f>'Part VI-Revenues &amp; Expenses'!H15</f>
        <v>850</v>
      </c>
      <c r="I772" s="2575">
        <f>'Part VI-Revenues &amp; Expenses'!I15</f>
        <v>0</v>
      </c>
      <c r="J772" s="2576">
        <f>'Part VI-Revenues &amp; Expenses'!J15</f>
        <v>0</v>
      </c>
      <c r="K772" s="2577">
        <f t="shared" si="2"/>
        <v>850</v>
      </c>
      <c r="L772" s="2577">
        <f t="shared" si="3"/>
        <v>5100</v>
      </c>
      <c r="M772" s="2451" t="str">
        <f>'Part VI-Revenues &amp; Expenses'!M15</f>
        <v>No</v>
      </c>
      <c r="N772" s="2451" t="str">
        <f>'Part VI-Revenues &amp; Expenses'!N15</f>
        <v>3+ Story</v>
      </c>
      <c r="O772" s="2451" t="str">
        <f>'Part VI-Revenues &amp; Expenses'!O15</f>
        <v>New Construction</v>
      </c>
      <c r="P772" s="2557" t="str">
        <f>'Part VI-Revenues &amp; Expenses'!P15</f>
        <v>No</v>
      </c>
      <c r="Q772" s="2578">
        <f>'Part VI-Revenues &amp; Expenses'!Q15</f>
        <v>34000</v>
      </c>
      <c r="R772" s="2579">
        <f>'Part VI-Revenues &amp; Expenses'!R15</f>
        <v>0.54200542005420049</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f t="shared" si="21"/>
        <v>6</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f t="shared" si="76"/>
        <v>6006</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f t="shared" si="96"/>
        <v>6</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6</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f t="shared" si="211"/>
        <v>6</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6</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72</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63822</v>
      </c>
      <c r="G805" s="479"/>
      <c r="H805" s="479"/>
      <c r="I805" s="479"/>
      <c r="J805" s="479"/>
      <c r="K805" s="2584" t="s">
        <v>1314</v>
      </c>
      <c r="L805" s="2582">
        <f>SUM(L767:L804)</f>
        <v>48575</v>
      </c>
      <c r="M805" s="2355"/>
      <c r="N805" s="2355"/>
      <c r="O805" s="2355"/>
      <c r="P805" s="2355"/>
      <c r="Q805" s="2355"/>
      <c r="R805" s="2355"/>
      <c r="S805" s="2355"/>
      <c r="T805" s="2355"/>
      <c r="U805" s="2562"/>
      <c r="V805" s="2585"/>
      <c r="W805" s="2585">
        <f t="shared" ref="W805:CH805" si="259">SUM(W767:W804)</f>
        <v>0</v>
      </c>
      <c r="X805" s="2585">
        <f t="shared" si="259"/>
        <v>20</v>
      </c>
      <c r="Y805" s="2585">
        <f t="shared" si="259"/>
        <v>27</v>
      </c>
      <c r="Z805" s="2585">
        <f t="shared" si="259"/>
        <v>0</v>
      </c>
      <c r="AA805" s="2585">
        <f t="shared" si="259"/>
        <v>0</v>
      </c>
      <c r="AB805" s="2585">
        <f t="shared" si="259"/>
        <v>0</v>
      </c>
      <c r="AC805" s="2585">
        <f t="shared" si="259"/>
        <v>6</v>
      </c>
      <c r="AD805" s="2585">
        <f t="shared" si="259"/>
        <v>9</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4</v>
      </c>
      <c r="AN805" s="2585">
        <f t="shared" si="259"/>
        <v>6</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14520</v>
      </c>
      <c r="CB805" s="2585">
        <f t="shared" si="259"/>
        <v>27027</v>
      </c>
      <c r="CC805" s="2585">
        <f t="shared" si="259"/>
        <v>0</v>
      </c>
      <c r="CD805" s="2585">
        <f t="shared" si="259"/>
        <v>0</v>
      </c>
      <c r="CE805" s="2585">
        <f t="shared" si="259"/>
        <v>0</v>
      </c>
      <c r="CF805" s="2585">
        <f t="shared" si="259"/>
        <v>4356</v>
      </c>
      <c r="CG805" s="2585">
        <f t="shared" si="259"/>
        <v>9009</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2904</v>
      </c>
      <c r="CQ805" s="2585">
        <f t="shared" si="260"/>
        <v>6006</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26</v>
      </c>
      <c r="DF805" s="2585">
        <f t="shared" si="260"/>
        <v>36</v>
      </c>
      <c r="DG805" s="2585">
        <f t="shared" si="260"/>
        <v>0</v>
      </c>
      <c r="DH805" s="2585">
        <f t="shared" si="260"/>
        <v>0</v>
      </c>
      <c r="DI805" s="2585">
        <f t="shared" si="260"/>
        <v>0</v>
      </c>
      <c r="DJ805" s="2585">
        <f t="shared" si="260"/>
        <v>4</v>
      </c>
      <c r="DK805" s="2585">
        <f t="shared" si="260"/>
        <v>6</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30</v>
      </c>
      <c r="EY805" s="2585">
        <f t="shared" si="261"/>
        <v>42</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30</v>
      </c>
      <c r="HV805" s="2585">
        <f t="shared" si="262"/>
        <v>42</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30</v>
      </c>
      <c r="JJ805" s="2585">
        <f t="shared" si="262"/>
        <v>42</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582900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4800</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20</v>
      </c>
      <c r="L813" s="2591">
        <f>Y805</f>
        <v>27</v>
      </c>
      <c r="M813" s="2591">
        <f>Z805</f>
        <v>0</v>
      </c>
      <c r="N813" s="2591">
        <f>AA805</f>
        <v>0</v>
      </c>
      <c r="O813" s="2591">
        <f t="shared" ref="O813:O819" si="263">SUM(J813:N813)</f>
        <v>47</v>
      </c>
      <c r="P813" s="2518" t="s">
        <v>3695</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6</v>
      </c>
      <c r="L814" s="2591">
        <f>AD805</f>
        <v>9</v>
      </c>
      <c r="M814" s="2591">
        <f>AE805</f>
        <v>0</v>
      </c>
      <c r="N814" s="2591">
        <f>AF805</f>
        <v>0</v>
      </c>
      <c r="O814" s="2591">
        <f t="shared" si="263"/>
        <v>15</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26</v>
      </c>
      <c r="L815" s="2591">
        <f>SUM(L813:L814)</f>
        <v>36</v>
      </c>
      <c r="M815" s="2591">
        <f>SUM(M813:M814)</f>
        <v>0</v>
      </c>
      <c r="N815" s="2591">
        <f>SUM(N813:N814)</f>
        <v>0</v>
      </c>
      <c r="O815" s="2591">
        <f t="shared" si="263"/>
        <v>62</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4</v>
      </c>
      <c r="L816" s="2591">
        <f>AN805</f>
        <v>6</v>
      </c>
      <c r="M816" s="2591">
        <f>AO805</f>
        <v>0</v>
      </c>
      <c r="N816" s="2591">
        <f>AP805</f>
        <v>0</v>
      </c>
      <c r="O816" s="2591">
        <f t="shared" si="263"/>
        <v>10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30</v>
      </c>
      <c r="L817" s="2591">
        <f>SUM(L815:L816)</f>
        <v>42</v>
      </c>
      <c r="M817" s="2591">
        <f>SUM(M815:M816)</f>
        <v>0</v>
      </c>
      <c r="N817" s="2591">
        <f>SUM(N815:N816)</f>
        <v>0</v>
      </c>
      <c r="O817" s="2591">
        <f t="shared" si="263"/>
        <v>72</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3696</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30</v>
      </c>
      <c r="L819" s="2591">
        <f>SUM(L817:L818)</f>
        <v>42</v>
      </c>
      <c r="M819" s="2591">
        <f>SUM(M817:M818)</f>
        <v>0</v>
      </c>
      <c r="N819" s="2591">
        <f>SUM(N817:N818)</f>
        <v>0</v>
      </c>
      <c r="O819" s="2591">
        <f t="shared" si="263"/>
        <v>72</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26</v>
      </c>
      <c r="L829" s="2591">
        <f>DF805</f>
        <v>36</v>
      </c>
      <c r="M829" s="2591">
        <f>DG805</f>
        <v>0</v>
      </c>
      <c r="N829" s="2591">
        <f>DH805</f>
        <v>0</v>
      </c>
      <c r="O829" s="2591">
        <f t="shared" ref="O829:O839" si="264">SUM(J829:N829)</f>
        <v>62</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4</v>
      </c>
      <c r="L830" s="2591">
        <f>DK805</f>
        <v>6</v>
      </c>
      <c r="M830" s="2591">
        <f>DL805</f>
        <v>0</v>
      </c>
      <c r="N830" s="2591">
        <f>DM805</f>
        <v>0</v>
      </c>
      <c r="O830" s="2591">
        <f t="shared" si="264"/>
        <v>10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30</v>
      </c>
      <c r="L831" s="2591">
        <f>SUM(L829:L830)+DP805</f>
        <v>42</v>
      </c>
      <c r="M831" s="2591">
        <f>SUM(M829:M830)+DQ805</f>
        <v>0</v>
      </c>
      <c r="N831" s="2591">
        <f>SUM(N829:N830)+DR805</f>
        <v>0</v>
      </c>
      <c r="O831" s="2591">
        <f t="shared" si="264"/>
        <v>72</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4542</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4801</v>
      </c>
      <c r="D843" s="2501"/>
      <c r="E843" s="2556" t="s">
        <v>40</v>
      </c>
      <c r="F843" s="2355"/>
      <c r="G843" s="2357"/>
      <c r="J843" s="2591">
        <f t="shared" ref="J843:O843" si="265">SUM(J844:J851)</f>
        <v>0</v>
      </c>
      <c r="K843" s="2591">
        <f t="shared" si="265"/>
        <v>30</v>
      </c>
      <c r="L843" s="2591">
        <f t="shared" si="265"/>
        <v>42</v>
      </c>
      <c r="M843" s="2591">
        <f t="shared" si="265"/>
        <v>0</v>
      </c>
      <c r="N843" s="2591">
        <f t="shared" si="265"/>
        <v>0</v>
      </c>
      <c r="O843" s="2591">
        <f t="shared" si="265"/>
        <v>72</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30</v>
      </c>
      <c r="L850" s="2591">
        <f>HV805</f>
        <v>42</v>
      </c>
      <c r="M850" s="2591">
        <f>HW805</f>
        <v>0</v>
      </c>
      <c r="N850" s="2591">
        <f>HX805</f>
        <v>0</v>
      </c>
      <c r="O850" s="2591">
        <f t="shared" si="266"/>
        <v>72</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4802</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30</v>
      </c>
      <c r="L867" s="2591">
        <f t="shared" si="271"/>
        <v>42</v>
      </c>
      <c r="M867" s="2591">
        <f t="shared" si="271"/>
        <v>0</v>
      </c>
      <c r="N867" s="2591">
        <f t="shared" si="271"/>
        <v>0</v>
      </c>
      <c r="O867" s="2591">
        <f t="shared" si="268"/>
        <v>72</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14520</v>
      </c>
      <c r="L870" s="2604">
        <f>CB805</f>
        <v>27027</v>
      </c>
      <c r="M870" s="2604">
        <f>CC805</f>
        <v>0</v>
      </c>
      <c r="N870" s="2604">
        <f>CD805</f>
        <v>0</v>
      </c>
      <c r="O870" s="2604">
        <f t="shared" ref="O870:O876" si="272">SUM(J870:N870)</f>
        <v>41547</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4356</v>
      </c>
      <c r="L871" s="2604">
        <f>CG805</f>
        <v>9009</v>
      </c>
      <c r="M871" s="2604">
        <f>CH805</f>
        <v>0</v>
      </c>
      <c r="N871" s="2604">
        <f>CI805</f>
        <v>0</v>
      </c>
      <c r="O871" s="2604">
        <f t="shared" si="272"/>
        <v>13365</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18876</v>
      </c>
      <c r="L872" s="2604">
        <f>SUM(L870:L871)</f>
        <v>36036</v>
      </c>
      <c r="M872" s="2604">
        <f>SUM(M870:M871)</f>
        <v>0</v>
      </c>
      <c r="N872" s="2604">
        <f>SUM(N870:N871)</f>
        <v>0</v>
      </c>
      <c r="O872" s="2604">
        <f t="shared" si="272"/>
        <v>54912</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2904</v>
      </c>
      <c r="L873" s="2604">
        <f>CQ805</f>
        <v>6006</v>
      </c>
      <c r="M873" s="2604">
        <f>CR805</f>
        <v>0</v>
      </c>
      <c r="N873" s="2604">
        <f>CS805</f>
        <v>0</v>
      </c>
      <c r="O873" s="2604">
        <f t="shared" si="272"/>
        <v>8910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21780</v>
      </c>
      <c r="L874" s="2604">
        <f>SUM(L872:L873)</f>
        <v>42042</v>
      </c>
      <c r="M874" s="2604">
        <f>SUM(M872:M873)</f>
        <v>0</v>
      </c>
      <c r="N874" s="2604">
        <f>SUM(N872:N873)</f>
        <v>0</v>
      </c>
      <c r="O874" s="2604">
        <f t="shared" si="272"/>
        <v>63822</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21780</v>
      </c>
      <c r="L876" s="2604">
        <f>SUM(L874:L875)</f>
        <v>42042</v>
      </c>
      <c r="M876" s="2604">
        <f>SUM(M874:M875)</f>
        <v>0</v>
      </c>
      <c r="N876" s="2604">
        <f>SUM(N874:N875)</f>
        <v>0</v>
      </c>
      <c r="O876" s="2604">
        <f t="shared" si="272"/>
        <v>63822</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4803</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11658</v>
      </c>
      <c r="I879" s="2606">
        <f>'Part VI-Revenues &amp; Expenses'!I122</f>
        <v>0</v>
      </c>
      <c r="J879" s="1330"/>
      <c r="K879" s="2607" t="s">
        <v>4804</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4805</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4806</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4805</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4806</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4805</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4806</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4805</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4806</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58000</v>
      </c>
      <c r="G921" s="2604">
        <f>'Part VI-Revenues &amp; Expenses'!G164</f>
        <v>0</v>
      </c>
      <c r="I921" s="2355" t="s">
        <v>1390</v>
      </c>
      <c r="K921" s="2604">
        <f>'Part VI-Revenues &amp; Expenses'!K164</f>
        <v>0</v>
      </c>
      <c r="L921" s="2604">
        <f>'Part VI-Revenues &amp; Expenses'!L164</f>
        <v>0</v>
      </c>
      <c r="N921" s="2355" t="s">
        <v>938</v>
      </c>
      <c r="P921" s="2615">
        <f>'Part VI-Revenues &amp; Expenses'!P164</f>
        <v>48323</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48000</v>
      </c>
      <c r="G922" s="2604">
        <f>'Part VI-Revenues &amp; Expenses'!G165</f>
        <v>0</v>
      </c>
      <c r="I922" s="2355" t="s">
        <v>1391</v>
      </c>
      <c r="K922" s="2604">
        <f>'Part VI-Revenues &amp; Expenses'!K165</f>
        <v>2400</v>
      </c>
      <c r="L922" s="2604">
        <f>'Part VI-Revenues &amp; Expenses'!L165</f>
        <v>0</v>
      </c>
      <c r="N922" s="2355" t="s">
        <v>148</v>
      </c>
      <c r="P922" s="2615">
        <f>'Part VI-Revenues &amp; Expenses'!P165</f>
        <v>20332</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2400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HSC/Health Department Staffing Costs</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68655</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106000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33176</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4500</v>
      </c>
      <c r="G928" s="2604">
        <f>'Part VI-Revenues &amp; Expenses'!G171</f>
        <v>0</v>
      </c>
      <c r="I928" s="2355" t="s">
        <v>1614</v>
      </c>
      <c r="K928" s="2615">
        <f>'Part VI-Revenues &amp; Expenses'!K171</f>
        <v>2350</v>
      </c>
      <c r="L928" s="2615">
        <f>'Part VI-Revenues &amp; Expenses'!L171</f>
        <v>0</v>
      </c>
      <c r="N928" s="2625">
        <f>+P927/(O819*0.93)</f>
        <v>495.45997610513734</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4500</v>
      </c>
      <c r="G929" s="2604">
        <f>'Part VI-Revenues &amp; Expenses'!G172</f>
        <v>0</v>
      </c>
      <c r="I929" s="2355" t="s">
        <v>2065</v>
      </c>
      <c r="K929" s="2615">
        <f>'Part VI-Revenues &amp; Expenses'!K172</f>
        <v>8500</v>
      </c>
      <c r="L929" s="2615">
        <f>'Part VI-Revenues &amp; Expenses'!L172</f>
        <v>0</v>
      </c>
      <c r="N929" s="2625">
        <f>+P927/(O819*0.93)/12</f>
        <v>41.288331342094779</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1900</v>
      </c>
      <c r="G930" s="2604">
        <f>'Part VI-Revenues &amp; Expenses'!G173</f>
        <v>0</v>
      </c>
      <c r="I930" s="2355" t="s">
        <v>1615</v>
      </c>
      <c r="K930" s="2615">
        <f>'Part VI-Revenues &amp; Expenses'!K173</f>
        <v>2500</v>
      </c>
      <c r="L930" s="2615">
        <f>'Part VI-Revenues &amp; Expenses'!L173</f>
        <v>0</v>
      </c>
      <c r="N930" s="478" t="s">
        <v>3756</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5500</v>
      </c>
      <c r="G932" s="2604">
        <f>'Part VI-Revenues &amp; Expenses'!G175</f>
        <v>0</v>
      </c>
      <c r="I932" s="2544"/>
      <c r="J932" s="2621" t="s">
        <v>193</v>
      </c>
      <c r="K932" s="2615">
        <f>SUM(K928:K931)</f>
        <v>13350</v>
      </c>
      <c r="L932" s="2615"/>
      <c r="M932" s="2628" t="str">
        <f>IF(P934="","",IF(P932&lt;P934, "WARNING! OE below required minimum.",""))</f>
        <v/>
      </c>
      <c r="N932" s="2544" t="s">
        <v>2202</v>
      </c>
      <c r="P932" s="2615">
        <f>F925+F934+F945+K923+K932+K942+P924+P927</f>
        <v>336600</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Wellness Center/Activities/Education</v>
      </c>
      <c r="C933" s="478">
        <f>'Part VI-Revenues &amp; Expenses'!C176</f>
        <v>0</v>
      </c>
      <c r="D933" s="478">
        <f>'Part VI-Revenues &amp; Expenses'!D176</f>
        <v>0</v>
      </c>
      <c r="E933" s="478">
        <f>'Part VI-Revenues &amp; Expenses'!E176</f>
        <v>0</v>
      </c>
      <c r="F933" s="2604">
        <f>'Part VI-Revenues &amp; Expenses'!F176</f>
        <v>2900</v>
      </c>
      <c r="G933" s="2604">
        <f>'Part VI-Revenues &amp; Expenses'!G176</f>
        <v>0</v>
      </c>
      <c r="J933" s="2591"/>
      <c r="M933" s="2628"/>
      <c r="N933" s="2626" t="s">
        <v>2776</v>
      </c>
      <c r="O933" s="2625">
        <f>+P932/O819</f>
        <v>4675</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19300</v>
      </c>
      <c r="G934" s="2604"/>
      <c r="J934" s="2591"/>
      <c r="M934" s="2628"/>
      <c r="O934" s="2626" t="s">
        <v>3757</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3505</v>
      </c>
      <c r="O936" s="2544"/>
      <c r="P936" s="2629">
        <f>'Part VI-Revenues &amp; Expenses'!P179</f>
        <v>18000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4560</v>
      </c>
      <c r="G937" s="2604">
        <f>'Part VI-Revenues &amp; Expenses'!G180</f>
        <v>0</v>
      </c>
      <c r="I937" s="2355" t="s">
        <v>1380</v>
      </c>
      <c r="J937" s="2417">
        <f>K937/12/O819</f>
        <v>17.939814814814817</v>
      </c>
      <c r="K937" s="2615">
        <f>'Part VI-Revenues &amp; Expenses'!K180</f>
        <v>15500</v>
      </c>
      <c r="L937" s="2615">
        <f>'Part VI-Revenues &amp; Expenses'!L180</f>
        <v>0</v>
      </c>
      <c r="M937" s="2628" t="str">
        <f>IF(P936&lt;P945, "WARNING! RR proposed is below the DCA required minimum.","")</f>
        <v/>
      </c>
      <c r="N937" s="478" t="s">
        <v>3765</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18939</v>
      </c>
      <c r="G938" s="2604">
        <f>'Part VI-Revenues &amp; Expenses'!G181</f>
        <v>0</v>
      </c>
      <c r="I938" s="2355" t="s">
        <v>1381</v>
      </c>
      <c r="J938" s="2417">
        <f>K938/12/O819</f>
        <v>0</v>
      </c>
      <c r="K938" s="2615">
        <f>'Part VI-Revenues &amp; Expenses'!K181</f>
        <v>0</v>
      </c>
      <c r="L938" s="2615">
        <f>'Part VI-Revenues &amp; Expenses'!L181</f>
        <v>0</v>
      </c>
      <c r="M938" s="2628"/>
      <c r="N938" s="2631" t="s">
        <v>3764</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19250</v>
      </c>
      <c r="G939" s="2604">
        <f>'Part VI-Revenues &amp; Expenses'!G182</f>
        <v>0</v>
      </c>
      <c r="I939" s="2355" t="s">
        <v>2368</v>
      </c>
      <c r="J939" s="2417">
        <f>K939/12/O819</f>
        <v>8.6805555555555554</v>
      </c>
      <c r="K939" s="2615">
        <f>'Part VI-Revenues &amp; Expenses'!K182</f>
        <v>7500</v>
      </c>
      <c r="L939" s="2615">
        <f>'Part VI-Revenues &amp; Expenses'!L182</f>
        <v>0</v>
      </c>
      <c r="M939" s="2628"/>
      <c r="N939" s="2632" t="s">
        <v>2732</v>
      </c>
      <c r="O939" s="2633" t="s">
        <v>3877</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7200</v>
      </c>
      <c r="G940" s="2604">
        <f>'Part VI-Revenues &amp; Expenses'!G183</f>
        <v>0</v>
      </c>
      <c r="I940" s="2355" t="s">
        <v>1383</v>
      </c>
      <c r="K940" s="2615">
        <f>'Part VI-Revenues &amp; Expenses'!K183</f>
        <v>6250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10200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29250</v>
      </c>
      <c r="L942" s="2615"/>
      <c r="M942" s="2628"/>
      <c r="N942" s="2357" t="s">
        <v>3451</v>
      </c>
      <c r="O942" s="2635" t="str">
        <f>CONCATENATE(SUM(JH805:JL805)," units x $",'DCA Underwriting Assumptions'!$Q$66," =")</f>
        <v>72 units x $250 =</v>
      </c>
      <c r="P942" s="2635">
        <f>SUM(JH805:JL805)*'DCA Underwriting Assumptions'!$Q$66</f>
        <v>18000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4320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64469</v>
      </c>
      <c r="G945" s="2604"/>
      <c r="J945" s="2591"/>
      <c r="N945" s="2584" t="s">
        <v>2735</v>
      </c>
      <c r="O945" s="2578">
        <f>SUM(JC805:JG805)+SUM(JH805:JL805)+SUM(JM805:JQ805)+O841</f>
        <v>72</v>
      </c>
      <c r="P945" s="2636">
        <f>SUM(P941:P944)</f>
        <v>18000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354600</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4153</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Real Estate Tax Methodology:
We utilized Uniformity between Tax Credit Comparables as our basis for forecasting.    We used an average of $60,000/dwelling unit and $60/gross living area to come up with a value of $4,074,660.  The Combined Millage rate for the City of Cartersville and Bartow County is $2.9650.
The calculation is:  (Total Value x 40% * Millage Rate)/100
$4,074,660 x 40% = $1,629,864
$1,629,764 * $2.965 = $4,832,250
$4,832,250/100 = $48,323 TOTAL TAX PROJECTION  (See Tab 01 for comp methodology and comp information).
Insurance Methodology:  TIV Value $7,886,710
Policy Rates:  
Primary Property  = $0.192 per $100 Total Insurable Value = $15,142.48
Excess Property Allocation = $11.398/unit = $820.66
Terrorism Allocation = $1.563/unit = $112.54
General Liability  = $35.896/unit = $2,584.51
Tenant Discrimination = $5.58/unit = $401.76
Umbrella Allocation = $17.64/unit = $1,270.08
TOTAL INSURANCE PREMIUM = $20,332.03 or $282.39/unit   (See Tab 01 for binder information)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4152</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2018-035 Peaks of Cartersville,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4807</v>
      </c>
    </row>
    <row r="961" spans="1:19" ht="12.75" customHeight="1">
      <c r="A961" s="683" t="s">
        <v>2204</v>
      </c>
      <c r="B961" s="2637">
        <v>0.02</v>
      </c>
      <c r="D961" s="2501" t="s">
        <v>4808</v>
      </c>
      <c r="E961" s="2501"/>
      <c r="F961" s="2501"/>
      <c r="G961" s="2638">
        <f>'Part VII-Pro Forma'!G5</f>
        <v>5000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0.06</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582900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4236</v>
      </c>
    </row>
    <row r="971" spans="1:19">
      <c r="A971" s="683" t="s">
        <v>1026</v>
      </c>
      <c r="B971" s="2646">
        <f>MIN(B970*B965,'Part VI-Revenues &amp; Expenses'!$H$122)</f>
        <v>11658</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3912</v>
      </c>
      <c r="R972" s="683" t="s">
        <v>4235</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-303424</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6170</v>
      </c>
      <c r="S975" s="683">
        <v>38607.855602867319</v>
      </c>
    </row>
    <row r="976" spans="1:19">
      <c r="A976" s="683" t="s">
        <v>1125</v>
      </c>
      <c r="B976" s="2646">
        <f>IF(AND('Part VII-Pro Forma'!$G$8="Yes",'Part VII-Pro Forma'!$G$9="Yes"),"Choose One!",IF('Part VII-Pro Forma'!$G$8="Yes",ROUND((-$K$8*(1+'Part VII-Pro Forma'!$B$6)^('Part VII-Pro Forma'!B969-1)),),IF('Part VII-Pro Forma'!$G$9="Yes",ROUND((-(SUM(B970:B973)*'Part VII-Pro Forma'!$K$9)),),"Choose mgt fee")))</f>
        <v>-35673</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6170</v>
      </c>
      <c r="S976" s="683">
        <v>77967.770005734696</v>
      </c>
    </row>
    <row r="977" spans="1:19">
      <c r="A977" s="683" t="s">
        <v>1214</v>
      </c>
      <c r="B977" s="2646">
        <f>-('Part VI-Revenues &amp; Expenses'!$P$179)</f>
        <v>-18000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6170</v>
      </c>
      <c r="S977" s="683">
        <v>117998.63718460209</v>
      </c>
    </row>
    <row r="978" spans="1:19">
      <c r="A978" s="683" t="s">
        <v>1215</v>
      </c>
      <c r="B978" s="2646">
        <f t="shared" ref="B978:K978" si="285">SUM(B970:B977)</f>
        <v>237461</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6170</v>
      </c>
      <c r="S978" s="683">
        <v>158615.09617898939</v>
      </c>
    </row>
    <row r="979" spans="1:19">
      <c r="A979" s="683" t="s">
        <v>1603</v>
      </c>
      <c r="B979" s="2646">
        <f>'Part VII-Pro Forma'!B23</f>
        <v>-154731.08439713262</v>
      </c>
      <c r="C979" s="2646">
        <f>'Part VII-Pro Forma'!C23</f>
        <v>-154731.08439713262</v>
      </c>
      <c r="D979" s="2646">
        <f>'Part VII-Pro Forma'!D23</f>
        <v>-154731.08439713262</v>
      </c>
      <c r="E979" s="2646">
        <f>'Part VII-Pro Forma'!E23</f>
        <v>-154731.08439713262</v>
      </c>
      <c r="F979" s="2646">
        <f>'Part VII-Pro Forma'!F23</f>
        <v>-154731.08439713262</v>
      </c>
      <c r="G979" s="2646">
        <f>'Part VII-Pro Forma'!G23</f>
        <v>-154731.08439713262</v>
      </c>
      <c r="H979" s="2646">
        <f>'Part VII-Pro Forma'!H23</f>
        <v>-154731.08439713262</v>
      </c>
      <c r="I979" s="2646">
        <f>'Part VII-Pro Forma'!I23</f>
        <v>-154731.08439713262</v>
      </c>
      <c r="J979" s="2646">
        <f>'Part VII-Pro Forma'!J23</f>
        <v>-154731.08439713262</v>
      </c>
      <c r="K979" s="2646">
        <f>'Part VII-Pro Forma'!K23</f>
        <v>-154731.08439713262</v>
      </c>
      <c r="Q979" s="683">
        <v>5</v>
      </c>
      <c r="R979" s="683">
        <v>6170</v>
      </c>
      <c r="S979" s="683">
        <v>199726.35920872726</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6170</v>
      </c>
      <c r="S980" s="683">
        <v>241237.03374954811</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6170</v>
      </c>
      <c r="S981" s="683">
        <v>283045.93836855004</v>
      </c>
    </row>
    <row r="982" spans="1:19">
      <c r="A982" s="683" t="s">
        <v>3880</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6170</v>
      </c>
      <c r="S982" s="683">
        <v>325047.912114279</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6170</v>
      </c>
      <c r="S983" s="683">
        <v>367131.61724966211</v>
      </c>
    </row>
    <row r="984" spans="1:19">
      <c r="A984" s="683" t="s">
        <v>1174</v>
      </c>
      <c r="B984" s="2646">
        <f>'Part VII-Pro Forma'!B28</f>
        <v>-5000</v>
      </c>
      <c r="C984" s="2646">
        <f>'Part VII-Pro Forma'!C28</f>
        <v>-5000</v>
      </c>
      <c r="D984" s="2646">
        <f>'Part VII-Pro Forma'!D28</f>
        <v>-5000</v>
      </c>
      <c r="E984" s="2646">
        <f>'Part VII-Pro Forma'!E28</f>
        <v>-5000</v>
      </c>
      <c r="F984" s="2646">
        <f>'Part VII-Pro Forma'!F28</f>
        <v>-5000</v>
      </c>
      <c r="G984" s="2646">
        <f>'Part VII-Pro Forma'!G28</f>
        <v>-5000</v>
      </c>
      <c r="H984" s="2646">
        <f>'Part VII-Pro Forma'!H28</f>
        <v>-5000</v>
      </c>
      <c r="I984" s="2646">
        <f>'Part VII-Pro Forma'!I28</f>
        <v>-5000</v>
      </c>
      <c r="J984" s="2646">
        <f>'Part VII-Pro Forma'!J28</f>
        <v>-5000</v>
      </c>
      <c r="K984" s="2646">
        <f>'Part VII-Pro Forma'!K28</f>
        <v>-5000</v>
      </c>
      <c r="Q984" s="683">
        <v>10</v>
      </c>
      <c r="R984" s="683">
        <v>6170</v>
      </c>
      <c r="S984" s="683">
        <v>409179.33510929625</v>
      </c>
    </row>
    <row r="985" spans="1:19">
      <c r="A985" s="683" t="s">
        <v>4126</v>
      </c>
      <c r="B985" s="2646">
        <f>'Part VII-Pro Forma'!B29</f>
        <v>-6170</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6170</v>
      </c>
      <c r="S985" s="683">
        <v>451068.75485567452</v>
      </c>
    </row>
    <row r="986" spans="1:19">
      <c r="A986" s="683" t="s">
        <v>1175</v>
      </c>
      <c r="B986" s="2646">
        <f>SUM(B978:B985)</f>
        <v>71559.915602867375</v>
      </c>
      <c r="C986" s="2646">
        <f t="shared" ref="C986:K986" si="286">SUM(C978:C985)</f>
        <v>-159731.08439713262</v>
      </c>
      <c r="D986" s="2646">
        <f t="shared" si="286"/>
        <v>-159731.08439713262</v>
      </c>
      <c r="E986" s="2646">
        <f t="shared" si="286"/>
        <v>-159731.08439713262</v>
      </c>
      <c r="F986" s="2646">
        <f t="shared" si="286"/>
        <v>-159731.08439713262</v>
      </c>
      <c r="G986" s="2646">
        <f t="shared" si="286"/>
        <v>-159731.08439713262</v>
      </c>
      <c r="H986" s="2646">
        <f t="shared" si="286"/>
        <v>-159731.08439713262</v>
      </c>
      <c r="I986" s="2646">
        <f t="shared" si="286"/>
        <v>-159731.08439713262</v>
      </c>
      <c r="J986" s="2646">
        <f t="shared" si="286"/>
        <v>-159731.08439713262</v>
      </c>
      <c r="K986" s="2646">
        <f t="shared" si="286"/>
        <v>-159731.08439713262</v>
      </c>
      <c r="Q986" s="683">
        <v>12</v>
      </c>
      <c r="R986" s="683">
        <v>6170</v>
      </c>
      <c r="S986" s="683">
        <v>492670.7549017797</v>
      </c>
    </row>
    <row r="987" spans="1:19">
      <c r="A987" s="683" t="str">
        <f>IF('Part III-Sources of Funds'!$E$37 = "Neither", "", "DCR Mortgage A")</f>
        <v>DCR Mortgage A</v>
      </c>
      <c r="B987" s="2647">
        <f t="shared" ref="B987:K987" si="287">IF(B979=0,"",-B978/B979)</f>
        <v>1.5346690093021831</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6170</v>
      </c>
      <c r="S987" s="683">
        <v>533850.1767601124</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6170</v>
      </c>
      <c r="S988" s="683">
        <v>574465.59107061801</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6170</v>
      </c>
      <c r="S989" s="683">
        <v>614368.05555215199</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6170</v>
      </c>
      <c r="S990" s="683">
        <v>653400.86461404047</v>
      </c>
    </row>
    <row r="991" spans="1:19">
      <c r="A991" s="683" t="s">
        <v>3739</v>
      </c>
      <c r="B991" s="2647">
        <f t="shared" ref="B991:K991" si="291">IF(AND(B979=0,B980=0,B981=0,B982=0),"",-B978/(B979+B980+B981+B982))</f>
        <v>1.5346690093021831</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6170</v>
      </c>
      <c r="S991" s="683">
        <v>691401.29035597492</v>
      </c>
    </row>
    <row r="992" spans="1:19">
      <c r="A992" s="683" t="s">
        <v>778</v>
      </c>
      <c r="B992" s="2648">
        <f t="shared" ref="B992:K992" si="292">IF(OR(B976="Choose mgt fee",B976="Choose One!"),"",(B970+B971+B972+B973+B974) / -(B975+B976+B977))</f>
        <v>1.6649761829418896</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6170</v>
      </c>
      <c r="S992" s="683">
        <v>728198.31467588188</v>
      </c>
    </row>
    <row r="993" spans="1:19">
      <c r="A993" s="683" t="s">
        <v>2634</v>
      </c>
      <c r="B993" s="2646">
        <f>'Part VII-Pro Forma'!B37</f>
        <v>2482327.8435824574</v>
      </c>
      <c r="C993" s="2646">
        <f>'Part VII-Pro Forma'!C37</f>
        <v>2463658.8386330027</v>
      </c>
      <c r="D993" s="2646">
        <f>'Part VII-Pro Forma'!D37</f>
        <v>2443936.7550588227</v>
      </c>
      <c r="E993" s="2646">
        <f>'Part VII-Pro Forma'!E37</f>
        <v>2423102.1909478782</v>
      </c>
      <c r="F993" s="2646">
        <f>'Part VII-Pro Forma'!F37</f>
        <v>2401092.39365337</v>
      </c>
      <c r="G993" s="2646">
        <f>'Part VII-Pro Forma'!G37</f>
        <v>2377841.0707859593</v>
      </c>
      <c r="H993" s="2646">
        <f>'Part VII-Pro Forma'!H37</f>
        <v>2353278.1905444646</v>
      </c>
      <c r="I993" s="2646">
        <f>'Part VII-Pro Forma'!I37</f>
        <v>2327329.7707836414</v>
      </c>
      <c r="J993" s="2646">
        <f>'Part VII-Pro Forma'!J37</f>
        <v>2299917.6561837243</v>
      </c>
      <c r="K993" s="2646">
        <f>'Part VII-Pro Forma'!K37</f>
        <v>2270959.2828505826</v>
      </c>
      <c r="Q993" s="683">
        <v>19</v>
      </c>
      <c r="R993" s="683">
        <v>6170</v>
      </c>
      <c r="S993" s="683">
        <v>763613.35219657642</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6170</v>
      </c>
      <c r="S994" s="683">
        <v>797458.9637128677</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4127</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-154731.08439713262</v>
      </c>
      <c r="C1009" s="2646">
        <f>'Part VII-Pro Forma'!C53</f>
        <v>-154731.08439713262</v>
      </c>
      <c r="D1009" s="2646">
        <f>'Part VII-Pro Forma'!D53</f>
        <v>-154731.08439713262</v>
      </c>
      <c r="E1009" s="2646">
        <f>'Part VII-Pro Forma'!E53</f>
        <v>-154731.08439713262</v>
      </c>
      <c r="F1009" s="2646">
        <f>'Part VII-Pro Forma'!F53</f>
        <v>-154731.08439713262</v>
      </c>
      <c r="G1009" s="2646">
        <f>'Part VII-Pro Forma'!G53</f>
        <v>-154731.08439713262</v>
      </c>
      <c r="H1009" s="2646">
        <f>'Part VII-Pro Forma'!H53</f>
        <v>-154731.08439713262</v>
      </c>
      <c r="I1009" s="2646">
        <f>'Part VII-Pro Forma'!I53</f>
        <v>-154731.08439713262</v>
      </c>
      <c r="J1009" s="2646">
        <f>'Part VII-Pro Forma'!J53</f>
        <v>-154731.08439713262</v>
      </c>
      <c r="K1009" s="2646">
        <f>'Part VII-Pro Forma'!K53</f>
        <v>-154731.08439713262</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-5000</v>
      </c>
      <c r="C1014" s="2646">
        <f>'Part VII-Pro Forma'!C58</f>
        <v>-5000</v>
      </c>
      <c r="D1014" s="2646">
        <f>'Part VII-Pro Forma'!D58</f>
        <v>-5000</v>
      </c>
      <c r="E1014" s="2646">
        <f>'Part VII-Pro Forma'!E58</f>
        <v>-5000</v>
      </c>
      <c r="F1014" s="2646">
        <f>'Part VII-Pro Forma'!F58</f>
        <v>-5000</v>
      </c>
      <c r="G1014" s="2646">
        <f>'Part VII-Pro Forma'!G58</f>
        <v>-5000</v>
      </c>
      <c r="H1014" s="2646">
        <f>'Part VII-Pro Forma'!H58</f>
        <v>-5000</v>
      </c>
      <c r="I1014" s="2646">
        <f>'Part VII-Pro Forma'!I58</f>
        <v>-5000</v>
      </c>
      <c r="J1014" s="2646">
        <f>'Part VII-Pro Forma'!J58</f>
        <v>-5000</v>
      </c>
      <c r="K1014" s="2646">
        <f>'Part VII-Pro Forma'!K58</f>
        <v>-5000</v>
      </c>
    </row>
    <row r="1015" spans="1:11">
      <c r="A1015" s="683" t="s">
        <v>4126</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-159731.08439713262</v>
      </c>
      <c r="C1016" s="2646">
        <f t="shared" ref="C1016:K1016" si="300">SUM(C1008:C1015)</f>
        <v>-159731.08439713262</v>
      </c>
      <c r="D1016" s="2646">
        <f t="shared" si="300"/>
        <v>-159731.08439713262</v>
      </c>
      <c r="E1016" s="2646">
        <f t="shared" si="300"/>
        <v>-159731.08439713262</v>
      </c>
      <c r="F1016" s="2646">
        <f t="shared" si="300"/>
        <v>-159731.08439713262</v>
      </c>
      <c r="G1016" s="2646">
        <f t="shared" si="300"/>
        <v>-159731.08439713262</v>
      </c>
      <c r="H1016" s="2646">
        <f t="shared" si="300"/>
        <v>-159731.08439713262</v>
      </c>
      <c r="I1016" s="2646">
        <f t="shared" si="300"/>
        <v>-159731.08439713262</v>
      </c>
      <c r="J1016" s="2646">
        <f t="shared" si="300"/>
        <v>-159731.08439713262</v>
      </c>
      <c r="K1016" s="2646">
        <f t="shared" si="300"/>
        <v>-159731.08439713262</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3739</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2240367.4296374731</v>
      </c>
      <c r="C1023" s="2646">
        <f>'Part VII-Pro Forma'!C67</f>
        <v>2208049.9554393836</v>
      </c>
      <c r="D1023" s="2646">
        <f>'Part VII-Pro Forma'!D67</f>
        <v>2173909.5216687149</v>
      </c>
      <c r="E1023" s="2646">
        <f>'Part VII-Pro Forma'!E67</f>
        <v>2137843.2990764091</v>
      </c>
      <c r="F1023" s="2646">
        <f>'Part VII-Pro Forma'!F67</f>
        <v>2099742.6580354827</v>
      </c>
      <c r="G1023" s="2646">
        <f>'Part VII-Pro Forma'!G67</f>
        <v>2059492.8413541205</v>
      </c>
      <c r="H1023" s="2646">
        <f>'Part VII-Pro Forma'!H67</f>
        <v>2016972.6186328526</v>
      </c>
      <c r="I1023" s="2646">
        <f>'Part VII-Pro Forma'!I67</f>
        <v>1972053.9211247615</v>
      </c>
      <c r="J1023" s="2646">
        <f>'Part VII-Pro Forma'!J67</f>
        <v>1924601.4559989336</v>
      </c>
      <c r="K1023" s="2646">
        <f>'Part VII-Pro Forma'!K67</f>
        <v>1874472.2988453386</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4127</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-154731.08439713262</v>
      </c>
      <c r="C1039" s="2646">
        <f>'Part VII-Pro Forma'!C83</f>
        <v>-154731.08439713262</v>
      </c>
      <c r="D1039" s="2646">
        <f>'Part VII-Pro Forma'!D83</f>
        <v>-154731.08439713262</v>
      </c>
      <c r="E1039" s="2646">
        <f>'Part VII-Pro Forma'!E83</f>
        <v>-154731.08439713262</v>
      </c>
      <c r="F1039" s="2646">
        <f>'Part VII-Pro Forma'!F83</f>
        <v>-154731.08439713262</v>
      </c>
      <c r="G1039" s="2646">
        <f>'Part VII-Pro Forma'!G83</f>
        <v>-154731.08439713262</v>
      </c>
      <c r="H1039" s="2646">
        <f>'Part VII-Pro Forma'!H83</f>
        <v>-154731.08439713262</v>
      </c>
      <c r="I1039" s="2646">
        <f>'Part VII-Pro Forma'!I83</f>
        <v>-154731.08439713262</v>
      </c>
      <c r="J1039" s="2646">
        <f>'Part VII-Pro Forma'!J83</f>
        <v>-154731.08439713262</v>
      </c>
      <c r="K1039" s="2646">
        <f>'Part VII-Pro Forma'!K83</f>
        <v>-154731.08439713262</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-5000</v>
      </c>
      <c r="C1044" s="2646">
        <f>'Part VII-Pro Forma'!C88</f>
        <v>-5000</v>
      </c>
      <c r="D1044" s="2646">
        <f>'Part VII-Pro Forma'!D88</f>
        <v>-5000</v>
      </c>
      <c r="E1044" s="2646">
        <f>'Part VII-Pro Forma'!E88</f>
        <v>-5000</v>
      </c>
      <c r="F1044" s="2646">
        <f>'Part VII-Pro Forma'!F88</f>
        <v>-5000</v>
      </c>
      <c r="G1044" s="2646">
        <f>'Part VII-Pro Forma'!G88</f>
        <v>-5000</v>
      </c>
      <c r="H1044" s="2646">
        <f>'Part VII-Pro Forma'!H88</f>
        <v>-5000</v>
      </c>
      <c r="I1044" s="2646">
        <f>'Part VII-Pro Forma'!I88</f>
        <v>-5000</v>
      </c>
      <c r="J1044" s="2646">
        <f>'Part VII-Pro Forma'!J88</f>
        <v>-5000</v>
      </c>
      <c r="K1044" s="2646">
        <f>'Part VII-Pro Forma'!K88</f>
        <v>-5000</v>
      </c>
    </row>
    <row r="1045" spans="1:11">
      <c r="A1045" s="683" t="s">
        <v>1175</v>
      </c>
      <c r="B1045" s="2646">
        <f t="shared" ref="B1045:K1045" si="314">SUM(B1038:B1044)</f>
        <v>-159731.08439713262</v>
      </c>
      <c r="C1045" s="2646">
        <f t="shared" si="314"/>
        <v>-159731.08439713262</v>
      </c>
      <c r="D1045" s="2646">
        <f t="shared" si="314"/>
        <v>-159731.08439713262</v>
      </c>
      <c r="E1045" s="2646">
        <f t="shared" si="314"/>
        <v>-159731.08439713262</v>
      </c>
      <c r="F1045" s="2646">
        <f t="shared" si="314"/>
        <v>-159731.08439713262</v>
      </c>
      <c r="G1045" s="2646">
        <f t="shared" si="314"/>
        <v>-159731.08439713262</v>
      </c>
      <c r="H1045" s="2646">
        <f t="shared" si="314"/>
        <v>-159731.08439713262</v>
      </c>
      <c r="I1045" s="2646">
        <f t="shared" si="314"/>
        <v>-159731.08439713262</v>
      </c>
      <c r="J1045" s="2646">
        <f t="shared" si="314"/>
        <v>-159731.08439713262</v>
      </c>
      <c r="K1045" s="2646">
        <f t="shared" si="314"/>
        <v>-159731.08439713262</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3739</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1821515.4631937791</v>
      </c>
      <c r="C1052" s="2646">
        <f>'Part VII-Pro Forma'!C96</f>
        <v>1765571.4457503268</v>
      </c>
      <c r="D1052" s="2646">
        <f>'Part VII-Pro Forma'!D96</f>
        <v>1706471.7459815182</v>
      </c>
      <c r="E1052" s="2646">
        <f>'Part VII-Pro Forma'!E96</f>
        <v>1644038.3585993235</v>
      </c>
      <c r="F1052" s="2646">
        <f>'Part VII-Pro Forma'!F96</f>
        <v>1578083.2374182781</v>
      </c>
      <c r="G1052" s="2646">
        <f>'Part VII-Pro Forma'!G96</f>
        <v>1508407.7289699411</v>
      </c>
      <c r="H1052" s="2646">
        <f>'Part VII-Pro Forma'!H96</f>
        <v>1434801.9741687593</v>
      </c>
      <c r="I1052" s="2646">
        <f>'Part VII-Pro Forma'!I96</f>
        <v>1357044.2762271804</v>
      </c>
      <c r="J1052" s="2646">
        <f>'Part VII-Pro Forma'!J96</f>
        <v>1274900.4329162121</v>
      </c>
      <c r="K1052" s="2646">
        <f>'Part VII-Pro Forma'!K96</f>
        <v>1188123.0311602275</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-154731.08439713262</v>
      </c>
      <c r="C1067" s="2646">
        <f>'Part VII-Pro Forma'!C111</f>
        <v>-154731.08439713262</v>
      </c>
      <c r="D1067" s="2646">
        <f>'Part VII-Pro Forma'!D111</f>
        <v>-154731.08439713262</v>
      </c>
      <c r="E1067" s="2646">
        <f>'Part VII-Pro Forma'!E111</f>
        <v>-154731.08439713262</v>
      </c>
      <c r="F1067" s="2646">
        <f>'Part VII-Pro Forma'!F111</f>
        <v>-154731.08439713262</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-5000</v>
      </c>
      <c r="C1072" s="2646">
        <f>'Part VII-Pro Forma'!C116</f>
        <v>-5000</v>
      </c>
      <c r="D1072" s="2646">
        <f>'Part VII-Pro Forma'!D116</f>
        <v>-5000</v>
      </c>
      <c r="E1072" s="2646">
        <f>'Part VII-Pro Forma'!E116</f>
        <v>-5000</v>
      </c>
      <c r="F1072" s="2646">
        <f>'Part VII-Pro Forma'!F116</f>
        <v>-5000</v>
      </c>
      <c r="G1072" s="2646"/>
      <c r="H1072" s="2646"/>
      <c r="I1072" s="2646"/>
      <c r="J1072" s="2646"/>
      <c r="K1072" s="2646"/>
    </row>
    <row r="1073" spans="1:11">
      <c r="A1073" s="683" t="s">
        <v>1175</v>
      </c>
      <c r="B1073" s="2646">
        <f>SUM(B1066:B1072)</f>
        <v>-159731.08439713262</v>
      </c>
      <c r="C1073" s="2646">
        <f>SUM(C1066:C1072)</f>
        <v>-159731.08439713262</v>
      </c>
      <c r="D1073" s="2646">
        <f>SUM(D1066:D1072)</f>
        <v>-159731.08439713262</v>
      </c>
      <c r="E1073" s="2646">
        <f>SUM(E1066:E1072)</f>
        <v>-159731.08439713262</v>
      </c>
      <c r="F1073" s="2646">
        <f>SUM(F1066:F1072)</f>
        <v>-159731.08439713262</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3739</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1096450.7018413718</v>
      </c>
      <c r="C1080" s="2646">
        <f>'Part VII-Pro Forma'!C124</f>
        <v>999607.33256908134</v>
      </c>
      <c r="D1080" s="2646">
        <f>'Part VII-Pro Forma'!D124</f>
        <v>897301.23604361457</v>
      </c>
      <c r="E1080" s="2646">
        <f>'Part VII-Pro Forma'!E124</f>
        <v>789224.27150875027</v>
      </c>
      <c r="F1080" s="2646">
        <f>'Part VII-Pro Forma'!F124</f>
        <v>675050.91664751084</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There are no debt service payment amounts that deviate from the amount shown in Permanent Sources (Part III).</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2018-035 Peaks of Cartersville,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4809</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3779</v>
      </c>
      <c r="C1125" s="2626"/>
      <c r="D1125" s="2626"/>
      <c r="E1125" s="2626"/>
      <c r="F1125" s="2626"/>
      <c r="G1125" s="2660"/>
      <c r="H1125" s="2660"/>
      <c r="I1125" s="2660"/>
      <c r="J1125" s="2660"/>
      <c r="K1125" s="2562"/>
      <c r="L1125" s="2562"/>
      <c r="M1125" s="2562"/>
      <c r="N1125" s="2562"/>
      <c r="O1125" s="2562"/>
      <c r="P1125" s="2562"/>
    </row>
    <row r="1126" spans="1:17" ht="281.25">
      <c r="A1126" s="2662" t="str">
        <f>'Part VIII-Threshold Criteria'!A32</f>
        <v>The applicant has complied with the requirements of the 2018 QAP.  
The Applicant has included the comittments for the construction/perm loan, bridge loan, and the equity commitments for the State and Federal equity from AEP.</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4810</v>
      </c>
      <c r="B1131" s="2667"/>
      <c r="C1131" s="2667"/>
      <c r="D1131" s="2667"/>
      <c r="E1131" s="2667"/>
      <c r="F1131" s="2667"/>
      <c r="G1131" s="2474" t="s">
        <v>2733</v>
      </c>
      <c r="H1131" s="2474"/>
      <c r="I1131" s="2659"/>
      <c r="J1131" s="2355"/>
      <c r="K1131" s="2659" t="s">
        <v>3660</v>
      </c>
      <c r="L1131" s="2659"/>
      <c r="M1131" s="2659"/>
      <c r="N1131" s="2659"/>
    </row>
    <row r="1132" spans="1:17" ht="13.5">
      <c r="A1132" s="2667"/>
      <c r="B1132" s="2667"/>
      <c r="C1132" s="2667"/>
      <c r="D1132" s="2667"/>
      <c r="E1132" s="2667"/>
      <c r="F1132" s="2667"/>
      <c r="G1132" s="2474" t="s">
        <v>348</v>
      </c>
      <c r="H1132" s="2474"/>
      <c r="I1132" s="2659"/>
      <c r="J1132" s="2355"/>
      <c r="K1132" s="478" t="s">
        <v>3661</v>
      </c>
      <c r="L1132" s="478"/>
      <c r="M1132" s="478"/>
      <c r="N1132" s="478"/>
      <c r="P1132" s="2487" t="s">
        <v>2753</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3920</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3657</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13449266.200550128</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4131</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3655</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3656</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30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30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13450872</v>
      </c>
      <c r="Q1157" s="2692">
        <f>'Part VIII-Threshold Criteria'!Q63</f>
        <v>0</v>
      </c>
    </row>
    <row r="1158" spans="1:17" ht="12.75" customHeight="1">
      <c r="C1158" s="2355"/>
      <c r="D1158" s="2672" t="s">
        <v>2457</v>
      </c>
      <c r="E1158" s="2660">
        <v>2</v>
      </c>
      <c r="F1158" s="2673">
        <f>'Part VI-Revenues &amp; Expenses'!$L$110</f>
        <v>42</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42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4543</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72</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72</v>
      </c>
      <c r="G1163" s="2421"/>
      <c r="H1163" s="2697">
        <f>'Part VIII-Threshold Criteria'!H69</f>
        <v>13450872</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3779</v>
      </c>
      <c r="D1164" s="2599"/>
      <c r="E1164" s="2599"/>
      <c r="F1164" s="2599"/>
      <c r="G1164" s="2599"/>
      <c r="H1164" s="2598"/>
      <c r="I1164" s="2660"/>
      <c r="J1164" s="2660"/>
      <c r="K1164" s="2663" t="s">
        <v>1880</v>
      </c>
      <c r="L1164" s="2562"/>
      <c r="M1164" s="2562"/>
      <c r="N1164" s="2562"/>
      <c r="O1164" s="2562"/>
      <c r="P1164" s="2562"/>
      <c r="Q1164" s="2562"/>
    </row>
    <row r="1165" spans="1:17" ht="78.75">
      <c r="A1165" s="2662" t="str">
        <f>'Part VIII-Threshold Criteria'!A71</f>
        <v>The Atlanta Cost limit has been selected for this project due to location.</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3779</v>
      </c>
      <c r="D1168" s="2599"/>
      <c r="E1168" s="2599"/>
      <c r="F1168" s="2599"/>
      <c r="G1168" s="2599"/>
      <c r="H1168" s="2598"/>
      <c r="I1168" s="2660"/>
      <c r="J1168" s="2660"/>
      <c r="K1168" s="2663" t="s">
        <v>1880</v>
      </c>
      <c r="L1168" s="2562"/>
      <c r="M1168" s="2562"/>
      <c r="N1168" s="2562"/>
      <c r="O1168" s="2562"/>
      <c r="P1168" s="2562"/>
      <c r="Q1168" s="2562"/>
    </row>
    <row r="1169" spans="1:17" ht="101.25">
      <c r="A1169" s="2662" t="str">
        <f>'Part VIII-Threshold Criteria'!A75</f>
        <v>The Residential Square Footage for purpose of Reasonableness of Costs is 63,492 SF.</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3769</v>
      </c>
      <c r="D1173" s="2687"/>
      <c r="E1173" s="2687"/>
      <c r="F1173" s="2687"/>
      <c r="G1173" s="2687"/>
      <c r="H1173" s="2687"/>
      <c r="I1173" s="2687"/>
      <c r="K1173" s="2687"/>
      <c r="L1173" s="2687"/>
      <c r="M1173" s="2700" t="s">
        <v>3723</v>
      </c>
      <c r="O1173" s="2662"/>
      <c r="P1173" s="2668" t="str">
        <f>'Part VIII-Threshold Criteria'!P79</f>
        <v>Agree</v>
      </c>
    </row>
    <row r="1174" spans="1:17">
      <c r="A1174" s="2701" t="s">
        <v>2001</v>
      </c>
      <c r="B1174" s="2598" t="s">
        <v>3768</v>
      </c>
      <c r="D1174" s="2598"/>
      <c r="E1174" s="2598"/>
      <c r="F1174" s="2598"/>
      <c r="G1174" s="2598"/>
      <c r="H1174" s="2598"/>
      <c r="I1174" s="2598"/>
      <c r="J1174" s="2598"/>
      <c r="K1174" s="2598"/>
      <c r="L1174" s="2598"/>
      <c r="M1174" s="2598"/>
      <c r="O1174" s="2598"/>
      <c r="P1174" s="2598"/>
      <c r="Q1174" s="2598"/>
    </row>
    <row r="1175" spans="1:17" ht="45">
      <c r="A1175" s="2702"/>
      <c r="B1175" s="2703" t="s">
        <v>1750</v>
      </c>
      <c r="C1175" s="2598" t="s">
        <v>3507</v>
      </c>
      <c r="E1175" s="2592"/>
      <c r="F1175" s="2592"/>
      <c r="G1175" s="2592"/>
      <c r="H1175" s="2355"/>
      <c r="I1175" s="478" t="s">
        <v>2723</v>
      </c>
      <c r="J1175" s="2704" t="str">
        <f>'Part VIII-Threshold Criteria'!J81</f>
        <v>Holiday Parties, Potluck Dinners, Bingo, Movie Nights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67.5">
      <c r="A1176" s="2702"/>
      <c r="B1176" s="2703" t="s">
        <v>1751</v>
      </c>
      <c r="C1176" s="2598" t="s">
        <v>3605</v>
      </c>
      <c r="E1176" s="2592"/>
      <c r="F1176" s="2592"/>
      <c r="G1176" s="2592"/>
      <c r="H1176" s="2355"/>
      <c r="I1176" s="478" t="s">
        <v>2723</v>
      </c>
      <c r="J1176" s="2704" t="str">
        <f>'Part VIII-Threshold Criteria'!J82</f>
        <v>Gardening Classes, Cooking Programs, Financial Planning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67.5">
      <c r="A1177" s="2702"/>
      <c r="B1177" s="2703" t="s">
        <v>1752</v>
      </c>
      <c r="C1177" s="2598" t="s">
        <v>3606</v>
      </c>
      <c r="E1177" s="2592"/>
      <c r="F1177" s="2592"/>
      <c r="G1177" s="2592"/>
      <c r="H1177" s="2355"/>
      <c r="I1177" s="478" t="s">
        <v>2723</v>
      </c>
      <c r="J1177" s="2704" t="str">
        <f>'Part VIII-Threshold Criteria'!J83</f>
        <v>Healthy Eating Classes, Nutrition, Healthy Heart Programs, Diabetes Management</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3931</v>
      </c>
      <c r="E1178" s="2592"/>
      <c r="I1178" s="478" t="s">
        <v>2723</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3922</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3779</v>
      </c>
      <c r="D1181" s="2599"/>
      <c r="E1181" s="2599"/>
      <c r="F1181" s="2599"/>
      <c r="G1181" s="2599"/>
      <c r="H1181" s="2598"/>
      <c r="I1181" s="2660"/>
      <c r="J1181" s="2660"/>
      <c r="K1181" s="2663" t="s">
        <v>1880</v>
      </c>
      <c r="L1181" s="2562"/>
      <c r="M1181" s="2562"/>
      <c r="N1181" s="2562"/>
      <c r="O1181" s="2562"/>
      <c r="P1181" s="2562"/>
      <c r="Q1181" s="2562"/>
    </row>
    <row r="1182" spans="1:17" ht="258.75">
      <c r="A1182" s="2662" t="str">
        <f>'Part VIII-Threshold Criteria'!A88</f>
        <v xml:space="preserve">Applicant will provide activies through the Local Health Department, UGA Extension Office, and local area 3rd party vendors.  MOUS for the Health Department and UGA Extension Offices have been signed for services and education.  </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Bowen National Research, Jeff Peters</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8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0.999</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3924</v>
      </c>
      <c r="D1189" s="2627"/>
      <c r="E1189" s="2627"/>
      <c r="F1189" s="2627"/>
      <c r="L1189" s="2703" t="s">
        <v>3925</v>
      </c>
      <c r="M1189" s="2707">
        <f>'Part VIII-Threshold Criteria'!M95</f>
        <v>1</v>
      </c>
      <c r="N1189" s="2705"/>
      <c r="O1189" s="2708" t="s">
        <v>4174</v>
      </c>
      <c r="P1189" s="2709">
        <f>'Part VIII-Threshold Criteria'!P95</f>
        <v>0.998</v>
      </c>
      <c r="Q1189" s="2668">
        <f>'Part VIII-Threshold Criteria'!Q95</f>
        <v>0</v>
      </c>
    </row>
    <row r="1190" spans="1:17">
      <c r="A1190" s="2699" t="s">
        <v>1748</v>
      </c>
      <c r="B1190" s="2687" t="s">
        <v>3923</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1995-075</v>
      </c>
      <c r="E1192" s="2659" t="str">
        <f>'Part VIII-Threshold Criteria'!E98</f>
        <v>Etowah Village</v>
      </c>
      <c r="F1192" s="2659">
        <f>'Part VIII-Threshold Criteria'!F98</f>
        <v>0</v>
      </c>
      <c r="G1192" s="2659">
        <f>'Part VIII-Threshold Criteria'!G98</f>
        <v>0</v>
      </c>
      <c r="H1192" s="2703" t="s">
        <v>1752</v>
      </c>
      <c r="I1192" s="2668" t="str">
        <f>'Part VIII-Threshold Criteria'!I98</f>
        <v>2009-049</v>
      </c>
      <c r="J1192" s="2659" t="str">
        <f>'Part VIII-Threshold Criteria'!J98</f>
        <v>Shangri-La Park</v>
      </c>
      <c r="K1192" s="2659">
        <f>'Part VIII-Threshold Criteria'!K98</f>
        <v>0</v>
      </c>
      <c r="L1192" s="2659">
        <f>'Part VIII-Threshold Criteria'!L98</f>
        <v>0</v>
      </c>
      <c r="M1192" s="2703" t="s">
        <v>1561</v>
      </c>
      <c r="N1192" s="2668" t="str">
        <f>'Part VIII-Threshold Criteria'!N98</f>
        <v>2017-064</v>
      </c>
      <c r="O1192" s="2659" t="str">
        <f>'Part VIII-Threshold Criteria'!O98</f>
        <v>Havenwood Cartersville</v>
      </c>
      <c r="P1192" s="2659">
        <f>'Part VIII-Threshold Criteria'!P98</f>
        <v>0</v>
      </c>
      <c r="Q1192" s="2659">
        <f>'Part VIII-Threshold Criteria'!Q98</f>
        <v>0</v>
      </c>
    </row>
    <row r="1193" spans="1:17">
      <c r="C1193" s="2703" t="s">
        <v>1751</v>
      </c>
      <c r="D1193" s="2668" t="str">
        <f>'Part VIII-Threshold Criteria'!D99</f>
        <v>unknown</v>
      </c>
      <c r="E1193" s="2659" t="str">
        <f>'Part VIII-Threshold Criteria'!E99</f>
        <v>Cove Apts</v>
      </c>
      <c r="F1193" s="2659">
        <f>'Part VIII-Threshold Criteria'!F99</f>
        <v>0</v>
      </c>
      <c r="G1193" s="2659">
        <f>'Part VIII-Threshold Criteria'!G99</f>
        <v>0</v>
      </c>
      <c r="H1193" s="2703" t="s">
        <v>2381</v>
      </c>
      <c r="I1193" s="2668" t="str">
        <f>'Part VIII-Threshold Criteria'!I99</f>
        <v>2017-006</v>
      </c>
      <c r="J1193" s="2659" t="str">
        <f>'Part VIII-Threshold Criteria'!J99</f>
        <v>Brentwood</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3638</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2748</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3639</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3779</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Under Item V.E., we have excluded two projects that are outside the PMA.  Project 4 (Brentwood) is an age restricted property funded in 2017 that is located on the periphery of the PMA.  Project 5 (Havenwood Cartersville) is a general occupancy project funded in 2017 located in the PMA.  The overall and LIHTC occupancies are very strong.  The project rental rates, capture rates, and absorption estimates indicate strong demand for the project.  We were unable to locate the project number for the Cove Apartments.  It was not listed on the http://georgia-dca.maps.arcgis.com/home/ website.</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Yes</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3779</v>
      </c>
      <c r="D1218" s="2599"/>
      <c r="E1218" s="2599"/>
      <c r="F1218" s="2599"/>
      <c r="G1218" s="2599"/>
      <c r="H1218" s="2598"/>
      <c r="I1218" s="2660"/>
      <c r="J1218" s="2660"/>
      <c r="K1218" s="2660"/>
      <c r="L1218" s="2562"/>
      <c r="M1218" s="2562"/>
      <c r="N1218" s="2562"/>
      <c r="O1218" s="2562"/>
      <c r="P1218" s="2562"/>
      <c r="Q1218" s="2562"/>
    </row>
    <row r="1219" spans="1:17" ht="67.5">
      <c r="A1219" s="2662" t="str">
        <f>'Part VIII-Threshold Criteria'!A125</f>
        <v>This property was rezoned in 2017 by the sponsor.</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3662</v>
      </c>
      <c r="D1224" s="2627"/>
      <c r="E1224" s="2627"/>
      <c r="F1224" s="2627"/>
      <c r="G1224" s="2627"/>
      <c r="H1224" s="2627"/>
      <c r="I1224" s="2355"/>
      <c r="J1224" s="2355"/>
      <c r="K1224" s="2703" t="s">
        <v>1999</v>
      </c>
      <c r="L1224" s="2570" t="str">
        <f>'Part VIII-Threshold Criteria'!L130</f>
        <v>Geotechnical &amp; Environmental Consultants</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t="str">
        <f>'Part VIII-Threshold Criteria'!P134</f>
        <v>&lt;70</v>
      </c>
      <c r="Q1228" s="2668">
        <f>'Part VIII-Threshold Criteria'!Q134</f>
        <v>0</v>
      </c>
    </row>
    <row r="1229" spans="1:17">
      <c r="A1229" s="2581"/>
      <c r="B1229" s="2703" t="s">
        <v>1752</v>
      </c>
      <c r="C1229" s="478" t="s">
        <v>4161</v>
      </c>
      <c r="E1229" s="2355"/>
      <c r="F1229" s="2355"/>
      <c r="G1229" s="2355"/>
      <c r="H1229" s="478"/>
      <c r="I1229" s="2355"/>
      <c r="J1229" s="2355"/>
      <c r="K1229" s="2627"/>
      <c r="L1229" s="2592"/>
      <c r="M1229" s="2592"/>
      <c r="N1229" s="2592"/>
      <c r="O1229" s="2592"/>
    </row>
    <row r="1230" spans="1:17" ht="56.25">
      <c r="A1230" s="2562"/>
      <c r="B1230" s="2703"/>
      <c r="C1230" s="2627" t="str">
        <f>'Part VIII-Threshold Criteria'!C136</f>
        <v>Roadway - 58.4-68.9; Aircraft - &lt;55; Railway - 50.4-51.4</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v>
      </c>
      <c r="Q1238" s="2718">
        <f>'Part VIII-Threshold Criteria'!Q144</f>
        <v>0</v>
      </c>
    </row>
    <row r="1239" spans="1:17">
      <c r="A1239" s="2701"/>
      <c r="B1239" s="2703"/>
      <c r="E1239" s="2703" t="s">
        <v>2452</v>
      </c>
      <c r="F1239" s="478" t="s">
        <v>2654</v>
      </c>
      <c r="G1239" s="2355"/>
      <c r="H1239" s="478"/>
      <c r="I1239" s="2355"/>
      <c r="J1239" s="2355"/>
      <c r="O1239" s="2703" t="s">
        <v>2452</v>
      </c>
      <c r="P1239" s="2668">
        <f>'Part VIII-Threshold Criteria'!P145</f>
        <v>0</v>
      </c>
      <c r="Q1239" s="2668">
        <f>'Part VIII-Threshold Criteria'!Q145</f>
        <v>0</v>
      </c>
    </row>
    <row r="1240" spans="1:17">
      <c r="A1240" s="2701"/>
      <c r="B1240" s="2703"/>
      <c r="E1240" s="2703" t="s">
        <v>2453</v>
      </c>
      <c r="F1240" s="478" t="s">
        <v>2652</v>
      </c>
      <c r="G1240" s="2355"/>
      <c r="H1240" s="478"/>
      <c r="I1240" s="2355"/>
      <c r="J1240" s="2355"/>
      <c r="O1240" s="2703" t="s">
        <v>2453</v>
      </c>
      <c r="P1240" s="2668">
        <f>'Part VIII-Threshold Criteria'!P146</f>
        <v>0</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Yes</v>
      </c>
      <c r="G1243" s="2668">
        <f>'Part VIII-Threshold Criteria'!G149</f>
        <v>0</v>
      </c>
      <c r="H1243" s="2703" t="s">
        <v>1561</v>
      </c>
      <c r="I1243" s="1156" t="s">
        <v>2657</v>
      </c>
      <c r="L1243" s="2668" t="str">
        <f>'Part VIII-Threshold Criteria'!L149</f>
        <v>Yes</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Yes</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3874</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2381</v>
      </c>
      <c r="C1246" s="478" t="s">
        <v>2824</v>
      </c>
      <c r="E1246" s="2627"/>
      <c r="F1246" s="2668" t="str">
        <f>'Part VIII-Threshold Criteria'!F152</f>
        <v>No</v>
      </c>
      <c r="G1246" s="2668">
        <f>'Part VIII-Threshold Criteria'!G152</f>
        <v>0</v>
      </c>
      <c r="H1246" s="2703" t="s">
        <v>516</v>
      </c>
      <c r="I1246" s="478" t="s">
        <v>2820</v>
      </c>
      <c r="L1246" s="2668" t="str">
        <f>'Part VIII-Threshold Criteria'!L152</f>
        <v>Yes</v>
      </c>
      <c r="M1246" s="2668">
        <f>'Part VIII-Threshold Criteria'!M152</f>
        <v>0</v>
      </c>
      <c r="O1246" s="2703"/>
    </row>
    <row r="1247" spans="1:17">
      <c r="A1247" s="478"/>
      <c r="B1247" s="2703" t="s">
        <v>2913</v>
      </c>
      <c r="C1247" s="478" t="s">
        <v>2822</v>
      </c>
      <c r="E1247" s="2627"/>
      <c r="F1247" s="2627"/>
      <c r="G1247" s="2627"/>
      <c r="H1247" s="2627"/>
      <c r="I1247" s="2627"/>
      <c r="J1247" s="2627"/>
      <c r="K1247" s="2627"/>
      <c r="L1247" s="2627"/>
      <c r="M1247" s="478"/>
      <c r="O1247" s="2703"/>
      <c r="P1247" s="2703"/>
    </row>
    <row r="1248" spans="1:17">
      <c r="A1248" s="478"/>
      <c r="C1248" s="2627">
        <f>'Part VIII-Threshold Criteria'!C154</f>
        <v>0</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4811</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3779</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 xml:space="preserve">Noise levels above the accepted 65 decibels were detected.  Not outdoor recreation areas are inside the 65 dBh contour and the building envelop will reduce interior levels below 65 dBh.  An Architectural Remediation Letter is included.
Northern Long Eared bats - no tree harvest between mid-May to early August. Upon award, applicant will have an independent study conducted to determine if these bats are on the property and will be impacted by tree clearing.
There is Asbestos and Lead Based Paint in the existing structures on site.  Those structures will be demolished and the lead based paint and asbestos will be abated.  The costs for abatement are includied in the budget.
</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4544</v>
      </c>
      <c r="D1265" s="478"/>
      <c r="E1265" s="478"/>
      <c r="F1265" s="478"/>
      <c r="G1265" s="478"/>
      <c r="I1265" s="478" t="s">
        <v>2725</v>
      </c>
      <c r="K1265" s="2721">
        <f>'Part VIII-Threshold Criteria'!K171</f>
        <v>43644</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Peaks of Cartersville,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Yes</v>
      </c>
      <c r="Q1268" s="2668">
        <f>'Part VIII-Threshold Criteria'!Q174</f>
        <v>0</v>
      </c>
    </row>
    <row r="1269" spans="1:17">
      <c r="B1269" s="2599" t="s">
        <v>3779</v>
      </c>
      <c r="D1269" s="2599"/>
      <c r="E1269" s="2599"/>
      <c r="F1269" s="2599"/>
      <c r="G1269" s="2599"/>
      <c r="H1269" s="2598"/>
      <c r="I1269" s="2660"/>
      <c r="J1269" s="2660"/>
      <c r="K1269" s="2660"/>
      <c r="L1269" s="2562"/>
      <c r="M1269" s="2562"/>
      <c r="N1269" s="2562"/>
      <c r="O1269" s="2562"/>
      <c r="P1269" s="2562"/>
      <c r="Q1269" s="2562"/>
    </row>
    <row r="1270" spans="1:17" ht="382.5">
      <c r="A1270" s="2662" t="str">
        <f>'Part VIII-Threshold Criteria'!A176</f>
        <v>Site Control is in the name of the Applicant per an Assignment of the Purchase Contract from Landbridge Acquisitions to Peaks of Cartersville, LP.  The intital Closing Date of the Purchase Contract is November 30, 2018, but there are seven 30 days extensions allowed which gives the Applicant site control through June 28, 2019.</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3770</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3663</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3771</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N/Ap</v>
      </c>
      <c r="Q1278" s="2714">
        <f>'Part VIII-Threshold Criteria'!Q184</f>
        <v>0</v>
      </c>
    </row>
    <row r="1279" spans="1:17">
      <c r="B1279" s="2599" t="s">
        <v>3779</v>
      </c>
      <c r="D1279" s="2599"/>
      <c r="E1279" s="2599"/>
      <c r="F1279" s="2599"/>
      <c r="G1279" s="2599"/>
      <c r="H1279" s="2598"/>
      <c r="I1279" s="2660"/>
      <c r="J1279" s="2660"/>
      <c r="K1279" s="2660"/>
      <c r="L1279" s="2562"/>
      <c r="M1279" s="2562"/>
      <c r="N1279" s="2562"/>
      <c r="O1279" s="2562"/>
      <c r="P1279" s="2562"/>
      <c r="Q1279" s="2562"/>
    </row>
    <row r="1280" spans="1:17" ht="56.25">
      <c r="A1280" s="2662" t="str">
        <f>'Part VIII-Threshold Criteria'!A186</f>
        <v xml:space="preserve">The project frontage is along North Tennessee Street. </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4812</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3772</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3926</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3779</v>
      </c>
      <c r="D1296" s="2599"/>
      <c r="E1296" s="2599"/>
      <c r="F1296" s="2599"/>
      <c r="G1296" s="2599"/>
      <c r="H1296" s="2598"/>
      <c r="I1296" s="2660"/>
      <c r="J1296" s="2660"/>
      <c r="K1296" s="2660"/>
      <c r="L1296" s="2562"/>
      <c r="M1296" s="2562"/>
      <c r="N1296" s="2562"/>
      <c r="O1296" s="2562"/>
      <c r="P1296" s="2562"/>
      <c r="Q1296" s="2562"/>
    </row>
    <row r="1297" spans="1:17" ht="78.75">
      <c r="A1297" s="2662" t="str">
        <f>'Part VIII-Threshold Criteria'!A203</f>
        <v xml:space="preserve">The property is zoned MU which allows for multi-family housing. </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3779</v>
      </c>
      <c r="C1303" s="2501"/>
      <c r="D1303" s="2501"/>
      <c r="E1303" s="2501"/>
      <c r="F1303" s="2501"/>
      <c r="H1303" s="2703" t="s">
        <v>1751</v>
      </c>
      <c r="I1303" s="478" t="s">
        <v>1608</v>
      </c>
      <c r="J1303" s="2659" t="str">
        <f>'Part VIII-Threshold Criteria'!J209</f>
        <v>City of Cartersville</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80">
      <c r="A1304" s="2662" t="str">
        <f>'Part VIII-Threshold Criteria'!A210</f>
        <v>There is no gas being used on the property for utilities.  The City of Cartersville will be providing Electrical services to the property as indicated on the Utility availability letter.</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Cartersville</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Cartersville</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3933</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3934</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3779</v>
      </c>
      <c r="D1316" s="2599"/>
      <c r="E1316" s="2599"/>
      <c r="F1316" s="2599"/>
      <c r="G1316" s="2599"/>
      <c r="H1316" s="2598"/>
      <c r="I1316" s="2660"/>
      <c r="J1316" s="2660"/>
      <c r="K1316" s="2660"/>
      <c r="L1316" s="2562"/>
      <c r="M1316" s="2562"/>
      <c r="N1316" s="2562"/>
      <c r="O1316" s="2562"/>
      <c r="P1316" s="2562"/>
      <c r="Q1316" s="2562"/>
    </row>
    <row r="1317" spans="1:17" ht="123.75">
      <c r="A1317" s="2662" t="str">
        <f>'Part VIII-Threshold Criteria'!A223</f>
        <v>Water and Sewer Services will be provided by the City of Cartersville as indicated on the Utility availability letter.</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4813</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4814</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45">
      <c r="A1330" s="2668"/>
      <c r="B1330" s="2703" t="s">
        <v>1750</v>
      </c>
      <c r="C1330" s="2662" t="str">
        <f>'Part VIII-Threshold Criteria'!C236</f>
        <v>Covered Pavillion with Picnic/Barbeque Facilities</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Fenced Community Garden</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22.5">
      <c r="A1331" s="2668"/>
      <c r="B1331" s="2703" t="s">
        <v>1751</v>
      </c>
      <c r="C1331" s="2662" t="str">
        <f>'Part VIII-Threshold Criteria'!C237</f>
        <v>Wellness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2828</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f>'Part VIII-Threshold Criteria'!P245</f>
        <v>0</v>
      </c>
      <c r="Q1339" s="2668">
        <f>'Part VIII-Threshold Criteria'!Q245</f>
        <v>0</v>
      </c>
    </row>
    <row r="1340" spans="1:17">
      <c r="A1340" s="2701" t="s">
        <v>2131</v>
      </c>
      <c r="B1340" s="478" t="s">
        <v>3688</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3935</v>
      </c>
      <c r="E1342" s="2355"/>
      <c r="F1342" s="2355"/>
      <c r="G1342" s="2598"/>
      <c r="H1342" s="2598"/>
      <c r="I1342" s="2355"/>
      <c r="J1342" s="2598"/>
      <c r="K1342" s="2355"/>
      <c r="L1342" s="2598"/>
      <c r="M1342" s="2598"/>
      <c r="O1342" s="2703" t="s">
        <v>1751</v>
      </c>
      <c r="P1342" s="2668" t="str">
        <f>'Part VIII-Threshold Criteria'!P248</f>
        <v>Yes</v>
      </c>
      <c r="Q1342" s="2668">
        <f>'Part VIII-Threshold Criteria'!Q248</f>
        <v>0</v>
      </c>
    </row>
    <row r="1343" spans="1:17">
      <c r="B1343" s="2599" t="s">
        <v>3779</v>
      </c>
      <c r="D1343" s="2599"/>
      <c r="E1343" s="2599"/>
      <c r="F1343" s="2599"/>
      <c r="G1343" s="2599"/>
      <c r="H1343" s="2598"/>
      <c r="I1343" s="2660"/>
      <c r="J1343" s="2660"/>
      <c r="K1343" s="2660"/>
      <c r="L1343" s="2562"/>
      <c r="M1343" s="2562"/>
      <c r="N1343" s="2562"/>
      <c r="O1343" s="2562"/>
      <c r="P1343" s="2562"/>
      <c r="Q1343" s="2562"/>
    </row>
    <row r="1344" spans="1:17" ht="101.25">
      <c r="A1344" s="2662" t="str">
        <f>'Part VIII-Threshold Criteria'!A250</f>
        <v xml:space="preserve">All required amenities listed above, per the QAP, will be met as identified in the Site Plan docs. </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2830</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3786</v>
      </c>
      <c r="D1354" s="478"/>
      <c r="E1354" s="478"/>
      <c r="F1354" s="478"/>
      <c r="M1354" s="478"/>
      <c r="N1354" s="2728"/>
      <c r="O1354" s="2703" t="s">
        <v>757</v>
      </c>
      <c r="P1354" s="2668">
        <f>'Part VIII-Threshold Criteria'!P260</f>
        <v>0</v>
      </c>
      <c r="Q1354" s="2668">
        <f>'Part VIII-Threshold Criteria'!Q260</f>
        <v>0</v>
      </c>
    </row>
    <row r="1355" spans="1:17">
      <c r="A1355" s="2701"/>
      <c r="B1355" s="478" t="s">
        <v>3785</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3936</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3787</v>
      </c>
      <c r="C1357" s="2662"/>
      <c r="D1357" s="2662"/>
      <c r="E1357" s="2662"/>
      <c r="F1357" s="2662"/>
      <c r="G1357" s="2662"/>
      <c r="H1357" s="1156" t="s">
        <v>4162</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4163</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4164</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4165</v>
      </c>
      <c r="K1360" s="2355"/>
      <c r="M1360" s="478"/>
      <c r="N1360" s="2728"/>
      <c r="O1360" s="2703" t="s">
        <v>2381</v>
      </c>
      <c r="P1360" s="2668">
        <f>'Part VIII-Threshold Criteria'!P266</f>
        <v>0</v>
      </c>
      <c r="Q1360" s="2668">
        <f>'Part VIII-Threshold Criteria'!Q266</f>
        <v>0</v>
      </c>
    </row>
    <row r="1361" spans="1:17" ht="12.75" customHeight="1">
      <c r="A1361" s="2699" t="s">
        <v>1748</v>
      </c>
      <c r="B1361" s="2662" t="s">
        <v>4815</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3779</v>
      </c>
      <c r="D1362" s="2599"/>
      <c r="E1362" s="2599"/>
      <c r="F1362" s="2599"/>
      <c r="G1362" s="2599"/>
      <c r="H1362" s="2598"/>
      <c r="I1362" s="2660"/>
      <c r="J1362" s="2660"/>
      <c r="K1362" s="2660"/>
      <c r="L1362" s="2562"/>
      <c r="M1362" s="2562"/>
      <c r="N1362" s="2562"/>
      <c r="O1362" s="2562"/>
      <c r="P1362" s="2562"/>
      <c r="Q1362" s="2562"/>
    </row>
    <row r="1363" spans="1:17" ht="90">
      <c r="A1363" s="2662" t="str">
        <f>'Part VIII-Threshold Criteria'!A269</f>
        <v>This project is new construction and therefore this section is not applicable.</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3938</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3782</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3783</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4166</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3784</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4167</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3779</v>
      </c>
      <c r="D1375" s="2599"/>
      <c r="E1375" s="2599"/>
      <c r="F1375" s="2599"/>
      <c r="G1375" s="2599"/>
      <c r="H1375" s="2598"/>
      <c r="I1375" s="2660"/>
      <c r="J1375" s="2660"/>
      <c r="K1375" s="2660"/>
      <c r="L1375" s="2562"/>
      <c r="M1375" s="2562"/>
      <c r="N1375" s="2562"/>
      <c r="O1375" s="2562"/>
      <c r="P1375" s="2562"/>
      <c r="Q1375" s="2562"/>
    </row>
    <row r="1376" spans="1:17" ht="348.75">
      <c r="A1376" s="2662" t="str">
        <f>'Part VIII-Threshold Criteria'!A282</f>
        <v>The site development plan meets all requirement of the QAP.  There are multiple location/vicinity maps at varied view levels to show the required areas.  Photos have been taken within the last six months and include a map and description.  Aerial photos have been marked with the site location identified as required.</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4148</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2831</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2832</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3779</v>
      </c>
      <c r="D1383" s="2599"/>
      <c r="E1383" s="2599"/>
      <c r="F1383" s="2599"/>
      <c r="G1383" s="2599"/>
      <c r="H1383" s="2598"/>
      <c r="I1383" s="2660"/>
      <c r="J1383" s="2660"/>
      <c r="K1383" s="2660"/>
      <c r="L1383" s="2562"/>
      <c r="M1383" s="2562"/>
      <c r="N1383" s="2562"/>
      <c r="O1383" s="2562"/>
      <c r="P1383" s="2562"/>
      <c r="Q1383" s="2562"/>
    </row>
    <row r="1384" spans="1:17" ht="112.5">
      <c r="A1384" s="2662" t="str">
        <f>'Part VIII-Threshold Criteria'!A290</f>
        <v>The Applicant agrees to the standards set forth in the QAP and Architectural Manual.</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4149</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4816</v>
      </c>
    </row>
    <row r="1389" spans="1:17" ht="12.75" customHeight="1">
      <c r="A1389" s="2699"/>
      <c r="B1389" s="2713" t="s">
        <v>1750</v>
      </c>
      <c r="C1389" s="2662" t="s">
        <v>3940</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3941</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3939</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3906</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4817</v>
      </c>
      <c r="D1393" s="2662"/>
      <c r="E1393" s="2662"/>
      <c r="F1393" s="2662"/>
      <c r="G1393" s="2662"/>
      <c r="H1393" s="2662"/>
      <c r="I1393" s="2687"/>
      <c r="J1393" s="2670" t="s">
        <v>3821</v>
      </c>
      <c r="K1393" s="2725"/>
      <c r="L1393" s="2725"/>
      <c r="M1393" s="2732" t="s">
        <v>3789</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3790</v>
      </c>
      <c r="N1394" s="2660" t="s">
        <v>3820</v>
      </c>
      <c r="O1394" s="2351"/>
      <c r="P1394" s="2373"/>
      <c r="Q1394" s="2351"/>
    </row>
    <row r="1395" spans="1:17">
      <c r="A1395" s="2354"/>
      <c r="B1395" s="2351"/>
      <c r="C1395" s="2662"/>
      <c r="D1395" s="2662"/>
      <c r="E1395" s="2662"/>
      <c r="F1395" s="2662"/>
      <c r="G1395" s="2662"/>
      <c r="H1395" s="2662"/>
      <c r="I1395" s="478" t="s">
        <v>4169</v>
      </c>
      <c r="J1395" s="2351"/>
      <c r="K1395" s="2733">
        <f>'Part VIII-Threshold Criteria'!K301</f>
        <v>4</v>
      </c>
      <c r="L1395" s="2352" t="str">
        <f>IF(K1395&lt;M1395,"Check!!!","")</f>
        <v/>
      </c>
      <c r="M1395" s="2734">
        <f>'Part VIII-Threshold Criteria'!M301</f>
        <v>4</v>
      </c>
      <c r="N1395" s="2735">
        <f>'DCA Underwriting Assumptions'!$Q$136</f>
        <v>0.05</v>
      </c>
      <c r="O1395" s="2703" t="s">
        <v>3664</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4818</v>
      </c>
      <c r="D1397" s="2662"/>
      <c r="E1397" s="2662"/>
      <c r="F1397" s="2662"/>
      <c r="G1397" s="2662"/>
      <c r="H1397" s="2662"/>
      <c r="I1397" s="2736" t="s">
        <v>4170</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4819</v>
      </c>
      <c r="D1399" s="2662"/>
      <c r="E1399" s="2662"/>
      <c r="F1399" s="2662"/>
      <c r="G1399" s="2662"/>
      <c r="H1399" s="2662"/>
      <c r="I1399" s="478" t="s">
        <v>4171</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3907</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3666</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3667</v>
      </c>
      <c r="C1404" s="2355"/>
      <c r="D1404" s="2687"/>
      <c r="E1404" s="2687"/>
      <c r="F1404" s="2687"/>
      <c r="G1404" s="2687"/>
      <c r="H1404" s="2687"/>
      <c r="I1404" s="2687" t="s">
        <v>3788</v>
      </c>
      <c r="J1404" s="2687"/>
      <c r="K1404" s="2687"/>
      <c r="L1404" s="2687" t="str">
        <f>'Part VIII-Threshold Criteria'!L310</f>
        <v>Zeffert &amp; Associates, Inc.</v>
      </c>
      <c r="M1404" s="2687">
        <f>'Part VIII-Threshold Criteria'!M310</f>
        <v>0</v>
      </c>
      <c r="N1404" s="2687">
        <f>'Part VIII-Threshold Criteria'!N310</f>
        <v>0</v>
      </c>
      <c r="O1404" s="2687"/>
      <c r="P1404" s="2687"/>
      <c r="Q1404" s="2687"/>
    </row>
    <row r="1405" spans="1:17" ht="12.75" customHeight="1">
      <c r="A1405" s="2679"/>
      <c r="B1405" s="2713" t="s">
        <v>1750</v>
      </c>
      <c r="C1405" s="2662" t="s">
        <v>3665</v>
      </c>
      <c r="D1405" s="2662"/>
      <c r="E1405" s="2662"/>
      <c r="F1405" s="2662"/>
      <c r="G1405" s="2662"/>
      <c r="H1405" s="2662"/>
      <c r="I1405" s="2662"/>
      <c r="J1405" s="2662"/>
      <c r="K1405" s="2662"/>
      <c r="L1405" s="2662"/>
      <c r="M1405" s="2662"/>
      <c r="N1405" s="2662"/>
      <c r="O1405" s="2713" t="s">
        <v>3670</v>
      </c>
      <c r="P1405" s="2714" t="str">
        <f>'Part VIII-Threshold Criteria'!P311</f>
        <v>Yes</v>
      </c>
      <c r="Q1405" s="2714">
        <f>'Part VIII-Threshold Criteria'!Q311</f>
        <v>0</v>
      </c>
    </row>
    <row r="1406" spans="1:17" ht="12.75" customHeight="1">
      <c r="A1406" s="2679"/>
      <c r="B1406" s="2713" t="s">
        <v>1751</v>
      </c>
      <c r="C1406" s="2662" t="s">
        <v>3710</v>
      </c>
      <c r="D1406" s="2662"/>
      <c r="E1406" s="2662"/>
      <c r="F1406" s="2662"/>
      <c r="G1406" s="2662"/>
      <c r="H1406" s="2662"/>
      <c r="I1406" s="2662"/>
      <c r="J1406" s="2662"/>
      <c r="K1406" s="2662"/>
      <c r="L1406" s="2662"/>
      <c r="M1406" s="2662"/>
      <c r="N1406" s="2662"/>
      <c r="O1406" s="2713" t="s">
        <v>3671</v>
      </c>
      <c r="P1406" s="2714" t="str">
        <f>'Part VIII-Threshold Criteria'!P312</f>
        <v>Yes</v>
      </c>
      <c r="Q1406" s="2714">
        <f>'Part VIII-Threshold Criteria'!Q312</f>
        <v>0</v>
      </c>
    </row>
    <row r="1407" spans="1:17" ht="12.75" customHeight="1">
      <c r="A1407" s="2679"/>
      <c r="B1407" s="2713" t="s">
        <v>1752</v>
      </c>
      <c r="C1407" s="2662" t="s">
        <v>3668</v>
      </c>
      <c r="D1407" s="2662"/>
      <c r="E1407" s="2662"/>
      <c r="F1407" s="2662"/>
      <c r="G1407" s="2662"/>
      <c r="H1407" s="2662"/>
      <c r="I1407" s="2662"/>
      <c r="J1407" s="2662"/>
      <c r="K1407" s="2662"/>
      <c r="L1407" s="2662"/>
      <c r="M1407" s="2662"/>
      <c r="N1407" s="2662"/>
      <c r="O1407" s="2713" t="s">
        <v>3672</v>
      </c>
      <c r="P1407" s="2714" t="str">
        <f>'Part VIII-Threshold Criteria'!P313</f>
        <v>Yes</v>
      </c>
      <c r="Q1407" s="2714">
        <f>'Part VIII-Threshold Criteria'!Q313</f>
        <v>0</v>
      </c>
    </row>
    <row r="1408" spans="1:17" ht="12.75" customHeight="1">
      <c r="A1408" s="2679"/>
      <c r="B1408" s="2713" t="s">
        <v>2381</v>
      </c>
      <c r="C1408" s="2662" t="s">
        <v>3669</v>
      </c>
      <c r="D1408" s="2662"/>
      <c r="E1408" s="2662"/>
      <c r="F1408" s="2662"/>
      <c r="G1408" s="2662"/>
      <c r="H1408" s="2662"/>
      <c r="I1408" s="2662"/>
      <c r="J1408" s="2662"/>
      <c r="K1408" s="2662"/>
      <c r="L1408" s="2662"/>
      <c r="M1408" s="2662"/>
      <c r="N1408" s="2662"/>
      <c r="O1408" s="2713" t="s">
        <v>3673</v>
      </c>
      <c r="P1408" s="2714" t="str">
        <f>'Part VIII-Threshold Criteria'!P314</f>
        <v>Yes</v>
      </c>
      <c r="Q1408" s="2714">
        <f>'Part VIII-Threshold Criteria'!Q314</f>
        <v>0</v>
      </c>
    </row>
    <row r="1409" spans="1:17">
      <c r="B1409" s="2599" t="s">
        <v>3779</v>
      </c>
      <c r="D1409" s="2599"/>
      <c r="E1409" s="2599"/>
      <c r="F1409" s="2599"/>
      <c r="G1409" s="2599"/>
      <c r="H1409" s="2598"/>
      <c r="I1409" s="2660"/>
      <c r="J1409" s="2660"/>
      <c r="K1409" s="2660"/>
      <c r="L1409" s="2562"/>
      <c r="M1409" s="2562"/>
      <c r="N1409" s="2562"/>
      <c r="O1409" s="2562"/>
      <c r="P1409" s="2562"/>
      <c r="Q1409" s="2562"/>
    </row>
    <row r="1410" spans="1:17" ht="202.5">
      <c r="A1410" s="2662" t="str">
        <f>'Part VIII-Threshold Criteria'!A316</f>
        <v>Applicant agrees to comply with QAP and DCA Architectural Requirements for Accessibility.  The consultant has not yet been engaged, but will be upon award.</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4147</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4820</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4821</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3779</v>
      </c>
      <c r="D1426" s="2599"/>
      <c r="E1426" s="2599"/>
      <c r="F1426" s="2599"/>
      <c r="G1426" s="2599"/>
      <c r="H1426" s="2598"/>
      <c r="I1426" s="2660"/>
      <c r="J1426" s="2660"/>
      <c r="K1426" s="2660"/>
      <c r="L1426" s="2562"/>
      <c r="M1426" s="2562"/>
      <c r="N1426" s="2562"/>
      <c r="O1426" s="2562"/>
      <c r="P1426" s="2562"/>
      <c r="Q1426" s="2562"/>
    </row>
    <row r="1427" spans="1:17" ht="213.75">
      <c r="A1427" s="2662" t="str">
        <f>'Part VIII-Threshold Criteria'!A333</f>
        <v>The project is new construction and therefore, Item A is not applicable.  Applicant agrees to comply with the Architectural Design &amp; Quality Standards as indicated in Item B.  Item C is not applicable.</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4150</v>
      </c>
      <c r="B1430" s="2545" t="s">
        <v>4189</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3945</v>
      </c>
      <c r="O1431" s="2713" t="s">
        <v>1999</v>
      </c>
      <c r="P1431" s="2668" t="str">
        <f>'Part VIII-Threshold Criteria'!P337</f>
        <v>Yes</v>
      </c>
      <c r="Q1431" s="2668">
        <f>'Part VIII-Threshold Criteria'!Q337</f>
        <v>0</v>
      </c>
    </row>
    <row r="1432" spans="1:17">
      <c r="A1432" s="2699" t="s">
        <v>2001</v>
      </c>
      <c r="B1432" s="1156" t="s">
        <v>4134</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3870</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3779</v>
      </c>
      <c r="D1437" s="2599"/>
      <c r="E1437" s="2599"/>
      <c r="F1437" s="2599"/>
      <c r="G1437" s="2599"/>
      <c r="H1437" s="2598"/>
      <c r="I1437" s="2660"/>
      <c r="J1437" s="2660"/>
      <c r="K1437" s="2660"/>
      <c r="L1437" s="2562"/>
      <c r="M1437" s="2562"/>
      <c r="N1437" s="2562"/>
      <c r="O1437" s="2562"/>
      <c r="P1437" s="2562"/>
      <c r="Q1437" s="2562"/>
    </row>
    <row r="1438" spans="1:17" ht="78.75">
      <c r="A1438" s="2662" t="str">
        <f>'Part VIII-Threshold Criteria'!A344</f>
        <v xml:space="preserve">The project team received a Qualified Determination at pre-app 2018.  </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4151</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3682</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3879</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4135</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3779</v>
      </c>
      <c r="D1445" s="2599"/>
      <c r="E1445" s="2599"/>
      <c r="F1445" s="2599"/>
      <c r="G1445" s="2599"/>
      <c r="H1445" s="2598"/>
      <c r="I1445" s="2660"/>
      <c r="J1445" s="2660"/>
      <c r="K1445" s="2660"/>
      <c r="L1445" s="2562"/>
      <c r="M1445" s="2562"/>
      <c r="N1445" s="2562"/>
      <c r="O1445" s="2562"/>
      <c r="P1445" s="2562"/>
      <c r="Q1445" s="2562"/>
    </row>
    <row r="1446" spans="1:17" ht="191.25">
      <c r="A1446" s="2662" t="str">
        <f>'Part VIII-Threshold Criteria'!A352</f>
        <v>The pre app included the Compliance History Summary.  The team was determined to be Qualified and no further documentation was required per the Q&amp;A 8 answers.</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4154</v>
      </c>
      <c r="B1450" s="2544" t="s">
        <v>4121</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4122</v>
      </c>
      <c r="D1451" s="2560"/>
      <c r="E1451" s="2560"/>
      <c r="F1451" s="2560"/>
      <c r="G1451" s="2560"/>
      <c r="H1451" s="2703" t="s">
        <v>1999</v>
      </c>
      <c r="I1451" s="2659" t="str">
        <f>'Part VIII-Threshold Criteria'!I357</f>
        <v>Resource Housing Group, Inc.</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4123</v>
      </c>
      <c r="D1452" s="2560"/>
      <c r="E1452" s="2560"/>
      <c r="F1452" s="2560"/>
      <c r="G1452" s="2560"/>
      <c r="H1452" s="2713" t="s">
        <v>2001</v>
      </c>
      <c r="I1452" s="2659" t="str">
        <f>'Part VIII-Threshold Criteria'!I358</f>
        <v>www.rhgroup.org</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4113</v>
      </c>
      <c r="C1453" s="2627"/>
      <c r="D1453" s="2627"/>
      <c r="E1453" s="2627"/>
      <c r="F1453" s="2627"/>
      <c r="G1453" s="2627"/>
      <c r="H1453" s="2627"/>
      <c r="I1453" s="2627"/>
      <c r="J1453" s="2627"/>
      <c r="K1453" s="2627"/>
      <c r="L1453" s="2627"/>
      <c r="M1453" s="2627"/>
      <c r="N1453" s="2627"/>
      <c r="O1453" s="2713" t="s">
        <v>757</v>
      </c>
      <c r="P1453" s="2714" t="str">
        <f>'Part VIII-Threshold Criteria'!P359</f>
        <v>Yes</v>
      </c>
      <c r="Q1453" s="2714">
        <f>'Part VIII-Threshold Criteria'!Q359</f>
        <v>0</v>
      </c>
    </row>
    <row r="1454" spans="1:17" ht="12.75" customHeight="1">
      <c r="A1454" s="2699" t="s">
        <v>2131</v>
      </c>
      <c r="B1454" s="2662" t="s">
        <v>4114</v>
      </c>
      <c r="C1454" s="2662"/>
      <c r="D1454" s="2662"/>
      <c r="E1454" s="2662"/>
      <c r="F1454" s="2662"/>
      <c r="G1454" s="2662"/>
      <c r="H1454" s="2662"/>
      <c r="I1454" s="2662"/>
      <c r="J1454" s="2662"/>
      <c r="K1454" s="2662"/>
      <c r="L1454" s="2662"/>
      <c r="M1454" s="2662"/>
      <c r="N1454" s="2662"/>
      <c r="O1454" s="2703" t="s">
        <v>2131</v>
      </c>
      <c r="P1454" s="2714" t="str">
        <f>'Part VIII-Threshold Criteria'!P360</f>
        <v>Yes</v>
      </c>
      <c r="Q1454" s="2714">
        <f>'Part VIII-Threshold Criteria'!Q360</f>
        <v>0</v>
      </c>
    </row>
    <row r="1455" spans="1:17">
      <c r="A1455" s="2699" t="s">
        <v>1748</v>
      </c>
      <c r="B1455" s="478" t="s">
        <v>4115</v>
      </c>
      <c r="D1455" s="478"/>
      <c r="E1455" s="478"/>
      <c r="F1455" s="478"/>
      <c r="G1455" s="478"/>
      <c r="H1455" s="478"/>
      <c r="I1455" s="478"/>
      <c r="J1455" s="478"/>
      <c r="K1455" s="478"/>
      <c r="L1455" s="478"/>
      <c r="M1455" s="478"/>
      <c r="O1455" s="2713" t="s">
        <v>1748</v>
      </c>
      <c r="P1455" s="2668" t="str">
        <f>'Part VIII-Threshold Criteria'!P361</f>
        <v>Yes</v>
      </c>
      <c r="Q1455" s="2668">
        <f>'Part VIII-Threshold Criteria'!Q361</f>
        <v>0</v>
      </c>
    </row>
    <row r="1456" spans="1:17" ht="12.75" customHeight="1">
      <c r="A1456" s="2699" t="s">
        <v>1749</v>
      </c>
      <c r="B1456" s="2662" t="s">
        <v>4116</v>
      </c>
      <c r="C1456" s="2662"/>
      <c r="D1456" s="2662"/>
      <c r="E1456" s="2662"/>
      <c r="F1456" s="2662"/>
      <c r="G1456" s="2662"/>
      <c r="H1456" s="2662"/>
      <c r="I1456" s="2662"/>
      <c r="J1456" s="2662"/>
      <c r="K1456" s="2662"/>
      <c r="L1456" s="2662"/>
      <c r="M1456" s="2662"/>
      <c r="N1456" s="2662"/>
      <c r="O1456" s="2713" t="s">
        <v>1749</v>
      </c>
      <c r="P1456" s="2714" t="str">
        <f>'Part VIII-Threshold Criteria'!P362</f>
        <v>Yes</v>
      </c>
      <c r="Q1456" s="2714">
        <f>'Part VIII-Threshold Criteria'!Q362</f>
        <v>0</v>
      </c>
    </row>
    <row r="1457" spans="1:17">
      <c r="A1457" s="2699" t="s">
        <v>1962</v>
      </c>
      <c r="B1457" s="2687" t="s">
        <v>4117</v>
      </c>
      <c r="C1457" s="2679"/>
      <c r="D1457" s="2662"/>
      <c r="E1457" s="2662"/>
      <c r="F1457" s="2662"/>
      <c r="G1457" s="2662"/>
      <c r="H1457" s="2662"/>
      <c r="I1457" s="2662"/>
      <c r="J1457" s="2662"/>
      <c r="K1457" s="2662"/>
      <c r="L1457" s="2662"/>
      <c r="M1457" s="2662"/>
      <c r="N1457" s="2662"/>
      <c r="O1457" s="2713" t="s">
        <v>1962</v>
      </c>
      <c r="P1457" s="2714" t="str">
        <f>'Part VIII-Threshold Criteria'!P363</f>
        <v>Yes</v>
      </c>
      <c r="Q1457" s="2714">
        <f>'Part VIII-Threshold Criteria'!Q363</f>
        <v>0</v>
      </c>
    </row>
    <row r="1458" spans="1:17">
      <c r="A1458" s="2679"/>
      <c r="B1458" s="2679"/>
      <c r="C1458" s="2722" t="s">
        <v>4822</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4118</v>
      </c>
      <c r="C1459" s="2662"/>
      <c r="D1459" s="2662"/>
      <c r="E1459" s="2662"/>
      <c r="F1459" s="2662"/>
      <c r="G1459" s="2662"/>
      <c r="H1459" s="2662"/>
      <c r="I1459" s="2662"/>
      <c r="J1459" s="2662"/>
      <c r="K1459" s="2662"/>
      <c r="L1459" s="2662"/>
      <c r="M1459" s="2662"/>
      <c r="N1459" s="2662"/>
      <c r="O1459" s="2713" t="s">
        <v>3392</v>
      </c>
      <c r="P1459" s="2714" t="str">
        <f>'Part VIII-Threshold Criteria'!P365</f>
        <v>Yes</v>
      </c>
      <c r="Q1459" s="2714">
        <f>'Part VIII-Threshold Criteria'!Q365</f>
        <v>0</v>
      </c>
    </row>
    <row r="1460" spans="1:17" ht="12.75" customHeight="1">
      <c r="A1460" s="2699" t="s">
        <v>622</v>
      </c>
      <c r="B1460" s="2662" t="s">
        <v>4119</v>
      </c>
      <c r="C1460" s="2662"/>
      <c r="D1460" s="2662"/>
      <c r="E1460" s="2662"/>
      <c r="F1460" s="2662"/>
      <c r="G1460" s="2662"/>
      <c r="H1460" s="2662"/>
      <c r="I1460" s="2662"/>
      <c r="J1460" s="2662"/>
      <c r="K1460" s="2662"/>
      <c r="L1460" s="2662"/>
      <c r="M1460" s="2662"/>
      <c r="N1460" s="2662"/>
      <c r="O1460" s="2713" t="s">
        <v>622</v>
      </c>
      <c r="P1460" s="2714" t="str">
        <f>'Part VIII-Threshold Criteria'!P366</f>
        <v>Yes</v>
      </c>
      <c r="Q1460" s="2714">
        <f>'Part VIII-Threshold Criteria'!Q366</f>
        <v>0</v>
      </c>
    </row>
    <row r="1461" spans="1:17">
      <c r="B1461" s="2599" t="s">
        <v>3779</v>
      </c>
      <c r="D1461" s="2599"/>
      <c r="E1461" s="2599"/>
      <c r="F1461" s="2599"/>
      <c r="G1461" s="2599"/>
      <c r="H1461" s="2598"/>
      <c r="I1461" s="2660"/>
      <c r="J1461" s="2660"/>
      <c r="K1461" s="2660"/>
      <c r="L1461" s="2562"/>
      <c r="M1461" s="2562"/>
      <c r="N1461" s="2562"/>
      <c r="O1461" s="2562"/>
      <c r="P1461" s="2562"/>
      <c r="Q1461" s="2562"/>
    </row>
    <row r="1462" spans="1:17" ht="409.5">
      <c r="A1462" s="2662" t="str">
        <f>'Part VIII-Threshold Criteria'!A368</f>
        <v>All items C-I are answered yes and are verifiable through the documentation provided with the application.  The Legal opinion from Coleman Talley verifies the federal tax exempt qualification status for items C &amp; I; the Development Agreement, the Operating Agreement for the Developer and the Operating Agreement for the General Partner have been provided to verify Items D-H.</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4155</v>
      </c>
      <c r="B1466" s="2544" t="s">
        <v>3946</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3948</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4172</v>
      </c>
      <c r="D1468" s="478"/>
      <c r="E1468" s="478"/>
      <c r="F1468" s="478"/>
      <c r="G1468" s="2659">
        <f>'Part VIII-Threshold Criteria'!G374</f>
        <v>0</v>
      </c>
      <c r="H1468" s="2659">
        <f>'Part VIII-Threshold Criteria'!H374</f>
        <v>0</v>
      </c>
      <c r="I1468" s="2659">
        <f>'Part VIII-Threshold Criteria'!I374</f>
        <v>0</v>
      </c>
      <c r="J1468" s="2660" t="s">
        <v>3955</v>
      </c>
      <c r="K1468" s="2659">
        <f>'Part VIII-Threshold Criteria'!K374</f>
        <v>0</v>
      </c>
      <c r="L1468" s="2659">
        <f>'Part VIII-Threshold Criteria'!L374</f>
        <v>0</v>
      </c>
      <c r="M1468" s="2659">
        <f>'Part VIII-Threshold Criteria'!M374</f>
        <v>0</v>
      </c>
      <c r="N1468" s="478" t="s">
        <v>3947</v>
      </c>
      <c r="O1468" s="478"/>
      <c r="P1468" s="2659">
        <f>'Part VIII-Threshold Criteria'!P374</f>
        <v>0</v>
      </c>
      <c r="Q1468" s="2659">
        <f>'Part VIII-Threshold Criteria'!Q374</f>
        <v>0</v>
      </c>
    </row>
    <row r="1469" spans="1:17">
      <c r="A1469" s="2355"/>
      <c r="B1469" s="478" t="s">
        <v>1751</v>
      </c>
      <c r="C1469" s="478" t="s">
        <v>3949</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3950</v>
      </c>
      <c r="D1470" s="2554"/>
      <c r="E1470" s="2627"/>
      <c r="F1470" s="2704" t="str">
        <f>'Part VIII-Threshold Criteria'!F376</f>
        <v>Rural</v>
      </c>
      <c r="G1470" s="2704">
        <f>'Part VIII-Threshold Criteria'!G376</f>
        <v>0</v>
      </c>
      <c r="H1470" s="2592" t="s">
        <v>3951</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3952</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3962</v>
      </c>
      <c r="O1471" s="2703"/>
      <c r="P1471" s="2668">
        <f>'Part VIII-Threshold Criteria'!P377</f>
        <v>0</v>
      </c>
      <c r="Q1471" s="2668">
        <f>'Part VIII-Threshold Criteria'!Q377</f>
        <v>0</v>
      </c>
    </row>
    <row r="1472" spans="1:17">
      <c r="A1472" s="2701"/>
      <c r="B1472" s="478" t="s">
        <v>1561</v>
      </c>
      <c r="C1472" s="478" t="s">
        <v>3953</v>
      </c>
      <c r="D1472" s="2355"/>
      <c r="E1472" s="478"/>
      <c r="F1472" s="2739">
        <f>'Part VIII-Threshold Criteria'!F378</f>
        <v>850000</v>
      </c>
      <c r="G1472" s="2739">
        <f>'Part VIII-Threshold Criteria'!G378</f>
        <v>0</v>
      </c>
      <c r="H1472" s="478" t="s">
        <v>3954</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3956</v>
      </c>
      <c r="D1473" s="2355"/>
      <c r="E1473" s="478"/>
      <c r="F1473" s="478"/>
      <c r="G1473" s="478"/>
      <c r="H1473" s="478" t="s">
        <v>3618</v>
      </c>
      <c r="I1473" s="478"/>
      <c r="J1473" s="2739">
        <f>'Part VIII-Threshold Criteria'!J379</f>
        <v>0</v>
      </c>
      <c r="K1473" s="2739">
        <f>'Part VIII-Threshold Criteria'!K379</f>
        <v>0</v>
      </c>
      <c r="L1473" s="478" t="s">
        <v>3957</v>
      </c>
      <c r="M1473" s="2739">
        <f>'Part VIII-Threshold Criteria'!M379</f>
        <v>0</v>
      </c>
      <c r="N1473" s="2739">
        <f>'Part VIII-Threshold Criteria'!N379</f>
        <v>0</v>
      </c>
      <c r="O1473" s="2355"/>
      <c r="P1473" s="2355"/>
      <c r="Q1473" s="2355"/>
    </row>
    <row r="1474" spans="1:17">
      <c r="A1474" s="2355"/>
      <c r="B1474" s="478" t="s">
        <v>99</v>
      </c>
      <c r="C1474" s="478" t="s">
        <v>3958</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3959</v>
      </c>
      <c r="C1476" s="2355"/>
      <c r="D1476" s="2627"/>
      <c r="E1476" s="2627"/>
      <c r="F1476" s="2627"/>
      <c r="G1476" s="2627"/>
      <c r="H1476" s="2627"/>
      <c r="I1476" s="2355"/>
      <c r="J1476" s="478" t="s">
        <v>3964</v>
      </c>
      <c r="K1476" s="478"/>
      <c r="L1476" s="478"/>
      <c r="M1476" s="478"/>
      <c r="N1476" s="2627" t="s">
        <v>3961</v>
      </c>
      <c r="O1476" s="2627"/>
      <c r="P1476" s="2627"/>
      <c r="Q1476" s="2627"/>
    </row>
    <row r="1477" spans="1:17">
      <c r="A1477" s="2355"/>
      <c r="B1477" s="478" t="s">
        <v>1750</v>
      </c>
      <c r="C1477" s="2598" t="s">
        <v>3960</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3963</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3965</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3779</v>
      </c>
      <c r="D1480" s="2599"/>
      <c r="E1480" s="2599"/>
      <c r="F1480" s="2599"/>
      <c r="G1480" s="2599"/>
      <c r="H1480" s="2598"/>
      <c r="I1480" s="2660"/>
      <c r="J1480" s="2660"/>
      <c r="K1480" s="2660"/>
      <c r="L1480" s="2562"/>
      <c r="M1480" s="2562"/>
      <c r="N1480" s="2562"/>
      <c r="O1480" s="2562"/>
      <c r="P1480" s="2562"/>
      <c r="Q1480" s="2562"/>
    </row>
    <row r="1481" spans="1:17" ht="22.5">
      <c r="A1481" s="2662" t="str">
        <f>'Part VIII-Threshold Criteria'!A387</f>
        <v>Not Applicable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4156</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3725</v>
      </c>
      <c r="G1490" s="2592"/>
      <c r="H1490" s="2592"/>
      <c r="I1490" s="2592"/>
      <c r="J1490" s="2598" t="s">
        <v>3726</v>
      </c>
      <c r="L1490" s="2592"/>
      <c r="M1490" s="2742">
        <f>'Part III-Sources of Funds'!E1105</f>
        <v>0</v>
      </c>
      <c r="N1490" s="2742"/>
      <c r="O1490" s="2703" t="s">
        <v>2131</v>
      </c>
      <c r="P1490" s="2668">
        <f>'Part VIII-Threshold Criteria'!P396</f>
        <v>0</v>
      </c>
      <c r="Q1490" s="2668">
        <f>'Part VIII-Threshold Criteria'!Q396</f>
        <v>0</v>
      </c>
    </row>
    <row r="1491" spans="1:17">
      <c r="B1491" s="2599" t="s">
        <v>3779</v>
      </c>
      <c r="D1491" s="2599"/>
      <c r="E1491" s="2599"/>
      <c r="F1491" s="2599"/>
      <c r="G1491" s="2599"/>
      <c r="H1491" s="2598"/>
      <c r="I1491" s="2660"/>
      <c r="J1491" s="2660"/>
      <c r="K1491" s="2660"/>
      <c r="L1491" s="2562"/>
      <c r="M1491" s="2562"/>
      <c r="N1491" s="2562"/>
      <c r="O1491" s="2562"/>
      <c r="P1491" s="2562"/>
      <c r="Q1491" s="2562"/>
    </row>
    <row r="1492" spans="1:17" ht="22.5">
      <c r="A1492" s="2662" t="str">
        <f>'Part VIII-Threshold Criteria'!A398</f>
        <v>Not Applicable</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4157</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3608</v>
      </c>
      <c r="D1498" s="2662"/>
      <c r="E1498" s="2662"/>
      <c r="O1498" s="2703" t="s">
        <v>2001</v>
      </c>
      <c r="P1498" s="2668" t="str">
        <f>'Part VIII-Threshold Criteria'!P404</f>
        <v>No</v>
      </c>
      <c r="Q1498" s="2668">
        <f>'Part VIII-Threshold Criteria'!Q404</f>
        <v>0</v>
      </c>
    </row>
    <row r="1499" spans="1:17">
      <c r="A1499" s="2701" t="s">
        <v>757</v>
      </c>
      <c r="B1499" s="478" t="s">
        <v>4120</v>
      </c>
      <c r="D1499" s="2662"/>
      <c r="E1499" s="2662"/>
      <c r="O1499" s="2703" t="s">
        <v>757</v>
      </c>
      <c r="P1499" s="2668" t="str">
        <f>'Part VIII-Threshold Criteria'!P405</f>
        <v>Yes</v>
      </c>
      <c r="Q1499" s="2668">
        <f>'Part VIII-Threshold Criteria'!Q405</f>
        <v>0</v>
      </c>
    </row>
    <row r="1500" spans="1:17">
      <c r="A1500" s="2701" t="s">
        <v>2131</v>
      </c>
      <c r="B1500" s="478" t="s">
        <v>3609</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No</v>
      </c>
      <c r="Q1501" s="2668">
        <f>'Part VIII-Threshold Criteria'!Q407</f>
        <v>0</v>
      </c>
    </row>
    <row r="1502" spans="1:17">
      <c r="B1502" s="2599" t="s">
        <v>3779</v>
      </c>
      <c r="D1502" s="2599"/>
      <c r="E1502" s="2599"/>
      <c r="F1502" s="2599"/>
      <c r="G1502" s="2599"/>
      <c r="H1502" s="2598"/>
      <c r="I1502" s="2660"/>
      <c r="J1502" s="2660"/>
      <c r="K1502" s="2660"/>
      <c r="L1502" s="2562"/>
      <c r="M1502" s="2562"/>
      <c r="N1502" s="2562"/>
      <c r="O1502" s="2562"/>
      <c r="P1502" s="2562"/>
      <c r="Q1502" s="2562"/>
    </row>
    <row r="1503" spans="1:17" ht="135">
      <c r="A1503" s="2662" t="str">
        <f>'Part VIII-Threshold Criteria'!A409</f>
        <v>A legal opininon was provided by Coleman Talley to verify nonprofit Federal Tax Exempt Qualification Status.</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4158</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Yes</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t="str">
        <f>'Part VIII-Threshold Criteria'!P419</f>
        <v>Yes</v>
      </c>
      <c r="Q1513" s="2668">
        <f>'Part VIII-Threshold Criteria'!Q419</f>
        <v>0</v>
      </c>
    </row>
    <row r="1514" spans="1:17">
      <c r="A1514" s="2701" t="s">
        <v>2131</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1</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1</v>
      </c>
      <c r="O1516" s="2557">
        <f>'Part VIII-Threshold Criteria'!O422</f>
        <v>0</v>
      </c>
    </row>
    <row r="1517" spans="1:17">
      <c r="A1517" s="2701"/>
      <c r="B1517" s="478" t="s">
        <v>2220</v>
      </c>
      <c r="C1517" s="478"/>
      <c r="E1517" s="2355"/>
      <c r="F1517" s="2598"/>
      <c r="G1517" s="2562">
        <f>'Part VIII-Threshold Criteria'!G423</f>
        <v>1</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t="str">
        <f>'Part VIII-Threshold Criteria'!G425</f>
        <v>Yes</v>
      </c>
      <c r="H1519" s="2668">
        <f>'Part VIII-Threshold Criteria'!H425</f>
        <v>0</v>
      </c>
      <c r="J1519" s="1156" t="s">
        <v>1193</v>
      </c>
      <c r="K1519" s="2598"/>
      <c r="N1519" s="2668" t="str">
        <f>'Part VIII-Threshold Criteria'!N425</f>
        <v>Yes</v>
      </c>
      <c r="O1519" s="2668">
        <f>'Part VIII-Threshold Criteria'!O425</f>
        <v>0</v>
      </c>
    </row>
    <row r="1520" spans="1:17">
      <c r="A1520" s="2355"/>
      <c r="B1520" s="1156" t="s">
        <v>1192</v>
      </c>
      <c r="C1520" s="2598"/>
      <c r="E1520" s="2598"/>
      <c r="F1520" s="2598"/>
      <c r="G1520" s="2668" t="str">
        <f>'Part VIII-Threshold Criteria'!G426</f>
        <v>Yes</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3779</v>
      </c>
      <c r="D1521" s="2599"/>
      <c r="E1521" s="2599"/>
      <c r="F1521" s="2599"/>
      <c r="G1521" s="2599"/>
      <c r="H1521" s="2598"/>
      <c r="I1521" s="2660"/>
      <c r="J1521" s="2660"/>
      <c r="K1521" s="2660"/>
      <c r="P1521" s="2562"/>
      <c r="Q1521" s="2562"/>
    </row>
    <row r="1522" spans="1:17" ht="303.75">
      <c r="A1522" s="2662" t="str">
        <f>'Part VIII-Threshold Criteria'!A428</f>
        <v>There is one occupant on the property.  The tenant meets the age and income restrictions for our proposed development.  We've included his move off the property during construction and his move back to the property once construction is complete.</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4159</v>
      </c>
      <c r="B1526" s="2544" t="s">
        <v>2834</v>
      </c>
      <c r="C1526" s="2544"/>
      <c r="D1526" s="2659"/>
      <c r="E1526" s="2665"/>
      <c r="F1526" s="2665"/>
      <c r="G1526" s="2665"/>
      <c r="H1526" s="2665"/>
      <c r="O1526" s="2661" t="s">
        <v>1881</v>
      </c>
      <c r="P1526" s="2570">
        <f>'Part VIII-Threshold Criteria'!P432</f>
        <v>0</v>
      </c>
      <c r="Q1526" s="2570">
        <f>'Part VIII-Threshold Criteria'!Q432</f>
        <v>0</v>
      </c>
    </row>
    <row r="1527" spans="1:17">
      <c r="B1527" s="2659" t="s">
        <v>3966</v>
      </c>
      <c r="C1527" s="2544"/>
      <c r="D1527" s="2659"/>
      <c r="E1527" s="2665"/>
      <c r="F1527" s="2665"/>
      <c r="G1527" s="2665"/>
      <c r="H1527" s="2665"/>
    </row>
    <row r="1528" spans="1:17" ht="12.75" customHeight="1">
      <c r="A1528" s="2699" t="s">
        <v>1999</v>
      </c>
      <c r="B1528" s="2662" t="s">
        <v>3969</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3967</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3968</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3970</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3971</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3972</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3973</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3974</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3975</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3779</v>
      </c>
      <c r="D1538" s="2599"/>
      <c r="E1538" s="2599"/>
      <c r="F1538" s="2599"/>
      <c r="G1538" s="2599"/>
      <c r="H1538" s="2598"/>
      <c r="I1538" s="2660"/>
      <c r="J1538" s="2660"/>
      <c r="K1538" s="2660"/>
      <c r="L1538" s="2562"/>
      <c r="M1538" s="2562"/>
      <c r="N1538" s="2562"/>
      <c r="O1538" s="2562"/>
      <c r="P1538" s="2562"/>
      <c r="Q1538" s="2562"/>
    </row>
    <row r="1539" spans="1:17" ht="135">
      <c r="A1539" s="2662" t="str">
        <f>'Part VIII-Threshold Criteria'!A445</f>
        <v>Applicant agrees to comply with all Affirmatively Furthering Fair Housing  Requirement as set forth in the QAP.</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4160</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3779</v>
      </c>
      <c r="D1544" s="2599"/>
      <c r="E1544" s="2599"/>
      <c r="F1544" s="2599"/>
      <c r="G1544" s="2599"/>
      <c r="H1544" s="2598"/>
      <c r="I1544" s="2660"/>
      <c r="J1544" s="2660"/>
      <c r="K1544" s="2660"/>
      <c r="L1544" s="2562"/>
      <c r="M1544" s="2562"/>
      <c r="N1544" s="2562"/>
      <c r="O1544" s="2562"/>
      <c r="P1544" s="2562"/>
      <c r="Q1544" s="2562"/>
    </row>
    <row r="1545" spans="1:17" ht="202.5">
      <c r="A1545" s="2662" t="str">
        <f>'Part VIII-Threshold Criteria'!A451</f>
        <v>The applicant has complied with all requirements in the QAP and does not believe there are any inefficient use of resource issues as part of the project.</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2018-035 Peaks of Cartersville,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4823</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54</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4824</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3674</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4825</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4191</v>
      </c>
      <c r="D1567" s="478"/>
      <c r="E1567" s="478"/>
      <c r="F1567" s="478"/>
      <c r="G1567" s="2626"/>
      <c r="H1567" s="2357" t="s">
        <v>4825</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3871</v>
      </c>
      <c r="B1568" s="2587"/>
      <c r="C1568" s="2587"/>
      <c r="D1568" s="2587"/>
      <c r="E1568" s="2587"/>
      <c r="F1568" s="2660" t="s">
        <v>4194</v>
      </c>
      <c r="G1568" s="2355"/>
      <c r="H1568" s="2355"/>
      <c r="I1568" s="2355"/>
      <c r="J1568" s="2660" t="s">
        <v>4194</v>
      </c>
      <c r="K1568" s="2660"/>
      <c r="L1568" s="2355"/>
      <c r="M1568" s="2355"/>
      <c r="N1568" s="2355"/>
      <c r="O1568" s="478" t="s">
        <v>4194</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4826</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4195</v>
      </c>
      <c r="B1583" s="478" t="s">
        <v>4196</v>
      </c>
      <c r="C1583" s="478"/>
      <c r="D1583" s="478"/>
      <c r="E1583" s="2474" t="s">
        <v>4224</v>
      </c>
      <c r="F1583" s="478" t="s">
        <v>4223</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5">
      <c r="A1584" s="2762" t="s">
        <v>750</v>
      </c>
      <c r="B1584" s="2763" t="s">
        <v>4197</v>
      </c>
      <c r="C1584" s="2433"/>
      <c r="D1584" s="2433"/>
      <c r="E1584" s="2764">
        <f>'Part IX A-Scoring Criteria'!E30</f>
        <v>10</v>
      </c>
      <c r="F1584" s="2667" t="str">
        <f>'Part IX A-Scoring Criteria'!F30</f>
        <v>This project qualifies for 14 desirable points but is capped at 10.</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4198</v>
      </c>
      <c r="C1585" s="2433"/>
      <c r="D1585" s="2433"/>
      <c r="E1585" s="2764">
        <f>'Part IX A-Scoring Criteria'!E31</f>
        <v>2</v>
      </c>
      <c r="F1585" s="2667" t="str">
        <f>'Part IX A-Scoring Criteria'!F31</f>
        <v>This project has selected the Sustainable Building Certification of Earth Craft House Multifamily (Earthcraft Multifamily) for 1 point and High Performance Building Design item 1 for an additional 1 point using Option 1.  The applicant self-score is 137 points for Earthcraft Multifamily but the commitment is to score the minimum required to achieve the certification.</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4199</v>
      </c>
      <c r="C1586" s="2433"/>
      <c r="D1586" s="2433"/>
      <c r="E1586" s="2764">
        <f>'Part IX A-Scoring Criteria'!E32</f>
        <v>4</v>
      </c>
      <c r="F1586" s="2667" t="str">
        <f>'Part IX A-Scoring Criteria'!F32</f>
        <v>The schools in the site's attendance district all exceed the state average.  The 2 mile ring from the property listed 11,752 jobs exceeding the minimum threshold as required for the points.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4200</v>
      </c>
      <c r="C1587" s="2433"/>
      <c r="D1587" s="2433"/>
      <c r="E1587" s="2764">
        <f>'Part IX A-Scoring Criteria'!E33</f>
        <v>3</v>
      </c>
      <c r="F1587" s="2667" t="str">
        <f>'Part IX A-Scoring Criteria'!F33</f>
        <v>The Transformation Plan was approved and scored points in the 2017 round.  This plan is being used in place of the Revitalization Plan for this section as allowed in the QAP.</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4201</v>
      </c>
      <c r="C1588" s="2433"/>
      <c r="D1588" s="2433"/>
      <c r="E1588" s="2765" t="str">
        <f>'Part IX A-Scoring Criteria'!E34</f>
        <v>n/a</v>
      </c>
      <c r="F1588" s="2667" t="str">
        <f>'Part IX A-Scoring Criteria'!F34</f>
        <v>We are not selecting Transformation Points for this application.  We are using our 2017 Approved Transformation Plan from 2017 for the VIII Revitalization/Redevelopment Plan points as allowed in the QAP.</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3817</v>
      </c>
      <c r="C1589" s="2433"/>
      <c r="D1589" s="2433"/>
      <c r="E1589" s="2764">
        <f>'Part IX A-Scoring Criteria'!E35</f>
        <v>0</v>
      </c>
      <c r="F1589" s="2667" t="str">
        <f>'Part IX A-Scoring Criteria'!F35</f>
        <v>This project is not eligible for these points.</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4202</v>
      </c>
      <c r="C1590" s="2433"/>
      <c r="D1590" s="2433"/>
      <c r="E1590" s="2765">
        <f>'Part IX A-Scoring Criteria'!E36</f>
        <v>1</v>
      </c>
      <c r="F1590" s="2667" t="str">
        <f>'Part IX A-Scoring Criteria'!F36</f>
        <v>Waynesborough Academy II has not selected the priority point within their scoring tab.</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4512</v>
      </c>
      <c r="B1591" s="2763" t="s">
        <v>4513</v>
      </c>
      <c r="C1591" s="2433"/>
      <c r="D1591" s="2433"/>
      <c r="E1591" s="2765">
        <f>'Part IX A-Scoring Criteria'!E37</f>
        <v>0</v>
      </c>
      <c r="F1591" s="2667" t="str">
        <f>'Part IX A-Scoring Criteria'!F37</f>
        <v>No Phases or Previous Project Points are selected in this application.</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4148</v>
      </c>
      <c r="B1592" s="2763" t="s">
        <v>4203</v>
      </c>
      <c r="C1592" s="2433"/>
      <c r="D1592" s="2433"/>
      <c r="E1592" s="2764">
        <f>'Part IX A-Scoring Criteria'!E38</f>
        <v>1</v>
      </c>
      <c r="F1592" s="2667" t="str">
        <f>'Part IX A-Scoring Criteria'!F38</f>
        <v>The City of Cartersville has authorized one letter to be written for a project in the 2018 LIHTC Round.  They have chosen Peaks of Cartersville.</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4149</v>
      </c>
      <c r="B1593" s="2763" t="s">
        <v>4204</v>
      </c>
      <c r="C1593" s="2433"/>
      <c r="D1593" s="2433"/>
      <c r="E1593" s="2764">
        <f>'Part IX A-Scoring Criteria'!E39</f>
        <v>0</v>
      </c>
      <c r="F1593" s="2667" t="str">
        <f>'Part IX A-Scoring Criteria'!F39</f>
        <v>No points were selected in this section.</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4147</v>
      </c>
      <c r="B1594" s="2763" t="s">
        <v>4205</v>
      </c>
      <c r="C1594" s="2433"/>
      <c r="D1594" s="2433"/>
      <c r="E1594" s="2764">
        <f>'Part IX A-Scoring Criteria'!E40</f>
        <v>2</v>
      </c>
      <c r="F1594" s="2667" t="str">
        <f>'Part IX A-Scoring Criteria'!F40</f>
        <v xml:space="preserve">The applicant agrees to accept up to seven Section 811 PBRA or other DCA RA units.  </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4150</v>
      </c>
      <c r="B1595" s="2763" t="s">
        <v>4206</v>
      </c>
      <c r="C1595" s="2433"/>
      <c r="D1595" s="2433"/>
      <c r="E1595" s="2765">
        <f>'Part IX A-Scoring Criteria'!E41</f>
        <v>0</v>
      </c>
      <c r="F1595" s="2667" t="str">
        <f>'Part IX A-Scoring Criteria'!F41</f>
        <v>This is not  a Historic Preservation Project.</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72</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3742</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15</v>
      </c>
      <c r="I1603" s="2780">
        <f>'Part IX A-Scoring Criteria'!I49</f>
        <v>0</v>
      </c>
      <c r="J1603" s="2779"/>
      <c r="K1603" s="2709">
        <f>'Part IX A-Scoring Criteria'!K49</f>
        <v>0.20833333333333334</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4827</v>
      </c>
      <c r="C1605" s="2779"/>
      <c r="D1605" s="2779"/>
      <c r="E1605" s="2725"/>
      <c r="F1605" s="2779"/>
      <c r="G1605" s="2779"/>
      <c r="H1605" s="2627" t="s">
        <v>3678</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3677</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3990</v>
      </c>
      <c r="D1607" s="2779"/>
      <c r="E1607" s="2782"/>
      <c r="F1607" s="2736"/>
      <c r="G1607" s="2779"/>
      <c r="H1607" s="2779"/>
      <c r="I1607" s="2743"/>
      <c r="J1607" s="2743"/>
      <c r="K1607" s="2743"/>
      <c r="L1607" s="2743"/>
      <c r="M1607" s="2743"/>
      <c r="N1607" s="2774" t="s">
        <v>2004</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4143</v>
      </c>
      <c r="C1611" s="2748"/>
      <c r="D1611" s="2784"/>
      <c r="E1611" s="2748"/>
      <c r="F1611" s="2748"/>
      <c r="G1611" s="2748"/>
      <c r="H1611" s="2748"/>
      <c r="I1611" s="2518" t="s">
        <v>3795</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3883</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4828</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3872</v>
      </c>
      <c r="C1615" s="2748"/>
      <c r="D1615" s="2784"/>
      <c r="E1615" s="2748"/>
      <c r="F1615" s="2789"/>
      <c r="G1615" s="2357" t="s">
        <v>4021</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3780</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67.5">
      <c r="A1617" s="2662" t="str">
        <f>'Part IX A-Scoring Criteria'!A63</f>
        <v>This project qualifies for 14 desirable points but is capped at 10.</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2</v>
      </c>
      <c r="P1621" s="2747">
        <f>'Part IX A-Scoring Criteria'!P67</f>
        <v>0</v>
      </c>
      <c r="Q1621" s="2563" t="s">
        <v>443</v>
      </c>
      <c r="R1621" s="2791" t="s">
        <v>4829</v>
      </c>
      <c r="S1621" s="2791"/>
      <c r="T1621" s="2791"/>
      <c r="U1621" s="2791"/>
      <c r="V1621" s="2748"/>
      <c r="W1621" s="2748"/>
      <c r="X1621" s="2748"/>
      <c r="Y1621" s="2748"/>
      <c r="Z1621" s="2748"/>
    </row>
    <row r="1622" spans="1:26" ht="15">
      <c r="A1622" s="2749"/>
      <c r="B1622" s="2556" t="s">
        <v>3993</v>
      </c>
      <c r="C1622" s="2748"/>
      <c r="D1622" s="2784"/>
      <c r="E1622" s="2748"/>
      <c r="F1622" s="2748"/>
      <c r="G1622" s="2748"/>
      <c r="H1622" s="2570" t="s">
        <v>2812</v>
      </c>
      <c r="I1622" s="2605"/>
      <c r="J1622" s="2570" t="str">
        <f>'Part I-Project Information'!$H$100</f>
        <v>Rural</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3991</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3992</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4000</v>
      </c>
      <c r="C1627" s="2748"/>
      <c r="D1627" s="2784"/>
      <c r="E1627" s="2748"/>
      <c r="F1627" s="2556" t="s">
        <v>3743</v>
      </c>
      <c r="G1627" s="2556"/>
      <c r="H1627" s="2556"/>
      <c r="I1627" s="2556"/>
      <c r="J1627" s="2556" t="s">
        <v>3744</v>
      </c>
      <c r="K1627" s="2556"/>
      <c r="L1627" s="2556"/>
      <c r="M1627" s="2556"/>
      <c r="N1627" s="2703"/>
      <c r="O1627" s="2519" t="s">
        <v>4830</v>
      </c>
      <c r="P1627" s="2794"/>
      <c r="Q1627" s="2563"/>
      <c r="R1627" s="2791"/>
      <c r="S1627" s="2791"/>
      <c r="T1627" s="2791"/>
      <c r="U1627" s="2791"/>
      <c r="V1627" s="2748"/>
      <c r="W1627" s="2748"/>
      <c r="X1627" s="2748"/>
      <c r="Y1627" s="2748"/>
      <c r="Z1627" s="2748"/>
    </row>
    <row r="1628" spans="1:26" ht="15">
      <c r="A1628" s="2749"/>
      <c r="B1628" s="2748"/>
      <c r="C1628" s="2556" t="s">
        <v>3999</v>
      </c>
      <c r="D1628" s="2440"/>
      <c r="E1628" s="2363"/>
      <c r="F1628" s="2367">
        <f>'Part IX A-Scoring Criteria'!F74</f>
        <v>34.180190000000003</v>
      </c>
      <c r="G1628" s="2367">
        <f>'Part IX A-Scoring Criteria'!G74</f>
        <v>0</v>
      </c>
      <c r="H1628" s="2367">
        <f>'Part IX A-Scoring Criteria'!H74</f>
        <v>0</v>
      </c>
      <c r="I1628" s="2367">
        <f>'Part IX A-Scoring Criteria'!I74</f>
        <v>0</v>
      </c>
      <c r="J1628" s="2367">
        <f>'Part IX A-Scoring Criteria'!J74</f>
        <v>-84.793903999999998</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4001</v>
      </c>
      <c r="E1629" s="2363"/>
      <c r="F1629" s="2367" t="str">
        <f>'Part IX A-Scoring Criteria'!F75</f>
        <v>NA</v>
      </c>
      <c r="G1629" s="2367">
        <f>'Part IX A-Scoring Criteria'!G75</f>
        <v>0</v>
      </c>
      <c r="H1629" s="2367">
        <f>'Part IX A-Scoring Criteria'!H75</f>
        <v>0</v>
      </c>
      <c r="I1629" s="2367">
        <f>'Part IX A-Scoring Criteria'!I75</f>
        <v>0</v>
      </c>
      <c r="J1629" s="2367" t="str">
        <f>'Part IX A-Scoring Criteria'!J75</f>
        <v>NA</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4190</v>
      </c>
      <c r="B1630" s="2653"/>
      <c r="C1630" s="2556" t="s">
        <v>4141</v>
      </c>
      <c r="D1630" s="2440"/>
      <c r="E1630" s="2363"/>
      <c r="F1630" s="2367" t="str">
        <f>'Part IX A-Scoring Criteria'!F76</f>
        <v>NA</v>
      </c>
      <c r="G1630" s="2367">
        <f>'Part IX A-Scoring Criteria'!G76</f>
        <v>0</v>
      </c>
      <c r="H1630" s="2367">
        <f>'Part IX A-Scoring Criteria'!H76</f>
        <v>0</v>
      </c>
      <c r="I1630" s="2367">
        <f>'Part IX A-Scoring Criteria'!I76</f>
        <v>0</v>
      </c>
      <c r="J1630" s="2367" t="str">
        <f>'Part IX A-Scoring Criteria'!J76</f>
        <v>NA</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4139</v>
      </c>
      <c r="E1631" s="2363"/>
      <c r="F1631" s="2367" t="str">
        <f>'Part IX A-Scoring Criteria'!F77</f>
        <v>NA</v>
      </c>
      <c r="G1631" s="2367">
        <f>'Part IX A-Scoring Criteria'!G77</f>
        <v>0</v>
      </c>
      <c r="H1631" s="2367">
        <f>'Part IX A-Scoring Criteria'!H77</f>
        <v>0</v>
      </c>
      <c r="I1631" s="2367">
        <f>'Part IX A-Scoring Criteria'!I77</f>
        <v>0</v>
      </c>
      <c r="J1631" s="2367" t="str">
        <f>'Part IX A-Scoring Criteria'!J77</f>
        <v>NA</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4831</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3773</v>
      </c>
      <c r="C1634" s="2748"/>
      <c r="D1634" s="2784"/>
      <c r="E1634" s="2748"/>
      <c r="F1634" s="2767" t="s">
        <v>4832</v>
      </c>
      <c r="G1634" s="2748"/>
      <c r="H1634" s="2748"/>
      <c r="I1634" s="2798" t="s">
        <v>4833</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4834</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4835</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3774</v>
      </c>
      <c r="D1637" s="2687"/>
      <c r="E1637" s="2687"/>
      <c r="F1637" s="2687"/>
      <c r="G1637" s="2703" t="s">
        <v>4138</v>
      </c>
      <c r="H1637" s="2695" t="str">
        <f>'Part I-Project Information'!$H$78</f>
        <v>HFOP</v>
      </c>
      <c r="I1637" s="2433" t="str">
        <f>'Part IX A-Scoring Criteria'!I83</f>
        <v>Bartow County Transit</v>
      </c>
      <c r="J1637" s="2433">
        <f>'Part IX A-Scoring Criteria'!J83</f>
        <v>0</v>
      </c>
      <c r="K1637" s="2433">
        <f>'Part IX A-Scoring Criteria'!K83</f>
        <v>0</v>
      </c>
      <c r="L1637" s="2802" t="str">
        <f>'Part IX A-Scoring Criteria'!L83</f>
        <v>770-387-5165</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3775</v>
      </c>
      <c r="C1638" s="1327"/>
      <c r="D1638" s="1327"/>
      <c r="E1638" s="1327"/>
      <c r="F1638" s="2804" t="s">
        <v>4836</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4837</v>
      </c>
      <c r="D1639" s="2627"/>
      <c r="E1639" s="2627"/>
      <c r="F1639" s="2627"/>
      <c r="G1639" s="2627"/>
      <c r="H1639" s="2627"/>
      <c r="I1639" s="2433" t="str">
        <f>'Part IX A-Scoring Criteria'!I85</f>
        <v>http://www.bartowga.org/departments/transit/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4838</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4839</v>
      </c>
      <c r="D1641" s="2662"/>
      <c r="E1641" s="2662"/>
      <c r="F1641" s="2662"/>
      <c r="G1641" s="2662"/>
      <c r="H1641" s="2662"/>
      <c r="I1641" s="2433" t="str">
        <f>'Part IX A-Scoring Criteria'!I87</f>
        <v>http://www.bartowga.org/departments/transit/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4840</v>
      </c>
      <c r="D1643" s="2570"/>
      <c r="E1643" s="2570"/>
      <c r="F1643" s="2570"/>
      <c r="G1643" s="2570"/>
      <c r="H1643" s="2570"/>
      <c r="I1643" s="2570"/>
      <c r="J1643" s="2570"/>
      <c r="K1643" s="2570"/>
      <c r="L1643" s="2570"/>
      <c r="M1643" s="2554">
        <v>2</v>
      </c>
      <c r="N1643" s="2793" t="s">
        <v>1236</v>
      </c>
      <c r="O1643" s="2747">
        <f>'Part IX A-Scoring Criteria'!O89</f>
        <v>2</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4841</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4842</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4003</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4008</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4009</v>
      </c>
      <c r="D1654" s="2811"/>
      <c r="E1654" s="2811"/>
      <c r="F1654" s="2811"/>
      <c r="G1654" s="2811"/>
      <c r="H1654" s="2811"/>
      <c r="I1654" s="2747">
        <f>'Part IX A-Scoring Criteria'!I100</f>
        <v>137</v>
      </c>
      <c r="J1654" s="2747">
        <f>'Part IX A-Scoring Criteria'!J100</f>
        <v>0</v>
      </c>
      <c r="K1654" s="2602"/>
      <c r="L1654" s="2811"/>
      <c r="M1654" s="2811"/>
      <c r="N1654" s="2811"/>
      <c r="O1654" s="2811" t="s">
        <v>4017</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4843</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2724</v>
      </c>
    </row>
    <row r="1658" spans="1:26" ht="13.5" customHeight="1">
      <c r="A1658" s="2581" t="s">
        <v>757</v>
      </c>
      <c r="B1658" s="2570" t="s">
        <v>4844</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2724</v>
      </c>
    </row>
    <row r="1659" spans="1:26" ht="13.5" customHeight="1">
      <c r="A1659" s="2581" t="s">
        <v>2131</v>
      </c>
      <c r="B1659" s="2570" t="s">
        <v>3804</v>
      </c>
      <c r="D1659" s="2355"/>
      <c r="E1659" s="2355"/>
      <c r="F1659" s="478" t="s">
        <v>4018</v>
      </c>
      <c r="J1659" s="2563">
        <f>'Part IX A-Scoring Criteria'!J105</f>
        <v>1</v>
      </c>
      <c r="K1659" s="2525"/>
      <c r="L1659" s="2525"/>
      <c r="M1659" s="2801">
        <v>1</v>
      </c>
      <c r="N1659" s="2703" t="s">
        <v>2131</v>
      </c>
      <c r="O1659" s="2786">
        <f>'Part IX A-Scoring Criteria'!O105</f>
        <v>1</v>
      </c>
      <c r="P1659" s="2786">
        <f>'Part IX A-Scoring Criteria'!P105</f>
        <v>0</v>
      </c>
      <c r="Q1659" s="2787" t="str">
        <f t="shared" si="323"/>
        <v/>
      </c>
      <c r="R1659" s="2788" t="s">
        <v>2724</v>
      </c>
    </row>
    <row r="1660" spans="1:26" ht="15">
      <c r="A1660" s="2355"/>
      <c r="B1660" s="2767" t="s">
        <v>3780</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8">
      <c r="A1661" s="2433" t="str">
        <f>'Part IX A-Scoring Criteria'!A107</f>
        <v>This project has selected the Sustainable Building Certification of Earth Craft House Multifamily (Earthcraft Multifamily) for 1 point and High Performance Building Design item 1 for an additional 1 point using Option 1.  The applicant self-score is 137 points for Earthcraft Multifamily but the commitment is to score the minimum required to achieve the certification.</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4019</v>
      </c>
      <c r="C1665" s="2748"/>
      <c r="D1665" s="478"/>
      <c r="E1665" s="478"/>
      <c r="F1665" s="2563"/>
      <c r="G1665" s="2563"/>
      <c r="H1665" s="2563"/>
      <c r="I1665" s="2797" t="s">
        <v>4831</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4020</v>
      </c>
      <c r="C1667" s="2766"/>
      <c r="D1667" s="2784"/>
      <c r="E1667" s="1156" t="s">
        <v>4145</v>
      </c>
      <c r="F1667" s="2748"/>
      <c r="G1667" s="2695"/>
      <c r="H1667" s="2748"/>
      <c r="I1667" s="2703" t="s">
        <v>4138</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4022</v>
      </c>
      <c r="C1669" s="2766"/>
      <c r="D1669" s="2813"/>
      <c r="E1669" s="2407" t="s">
        <v>4252</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4175</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80">
      <c r="A1671" s="2701"/>
      <c r="B1671" s="478"/>
      <c r="C1671" s="2818" t="s">
        <v>4176</v>
      </c>
      <c r="D1671" s="2627" t="str">
        <f>'Part IX A-Scoring Criteria'!D117</f>
        <v>2016 Wellstar Kennestone Hospital Community Health Assessment; 2018 County Health Rankings Burke County; Interview with Bartow County Health Department</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4023</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4024</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25.5">
      <c r="A1675" s="2581"/>
      <c r="B1675" s="2819"/>
      <c r="C1675" s="478" t="s">
        <v>4845</v>
      </c>
      <c r="D1675" s="2357" t="s">
        <v>4146</v>
      </c>
      <c r="E1675" s="2766"/>
      <c r="F1675" s="478"/>
      <c r="G1675" s="478"/>
      <c r="H1675" s="2518" t="str">
        <f>'Part IX A-Scoring Criteria'!H121</f>
        <v>Bartow County Health Department</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4027</v>
      </c>
      <c r="D1676" s="2766"/>
      <c r="E1676" s="478"/>
      <c r="F1676" s="478"/>
      <c r="G1676" s="478"/>
      <c r="H1676" s="2766"/>
      <c r="I1676" s="2766"/>
      <c r="J1676" s="2766"/>
      <c r="K1676" s="2766"/>
      <c r="L1676" s="2766"/>
      <c r="M1676" s="2554"/>
      <c r="N1676" s="2713" t="s">
        <v>3808</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4028</v>
      </c>
      <c r="D1677" s="478"/>
      <c r="E1677" s="478"/>
      <c r="F1677" s="478"/>
      <c r="G1677" s="478"/>
      <c r="H1677" s="478"/>
      <c r="I1677" s="478"/>
      <c r="J1677" s="478"/>
      <c r="K1677" s="478"/>
      <c r="L1677" s="478"/>
      <c r="M1677" s="2660"/>
      <c r="N1677" s="2703" t="s">
        <v>3809</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4173</v>
      </c>
      <c r="D1678" s="1156"/>
      <c r="E1678" s="478"/>
      <c r="F1678" s="478"/>
      <c r="G1678" s="478"/>
      <c r="H1678" s="1156"/>
      <c r="I1678" s="1156"/>
      <c r="J1678" s="1156"/>
      <c r="K1678" s="1156"/>
      <c r="L1678" s="2725" t="s">
        <v>3845</v>
      </c>
      <c r="M1678" s="2725"/>
      <c r="N1678" s="2725"/>
      <c r="O1678" s="2725" t="s">
        <v>3844</v>
      </c>
      <c r="P1678" s="2725"/>
      <c r="Q1678" s="478"/>
      <c r="R1678" s="1156"/>
      <c r="S1678" s="1156"/>
      <c r="T1678" s="1156"/>
      <c r="U1678" s="1156"/>
      <c r="V1678" s="1156"/>
      <c r="W1678" s="1156"/>
      <c r="X1678" s="1156"/>
      <c r="Y1678" s="1156"/>
      <c r="Z1678" s="1156"/>
    </row>
    <row r="1679" spans="1:26" ht="78.75">
      <c r="A1679" s="2701"/>
      <c r="B1679" s="2703"/>
      <c r="C1679" s="2662" t="str">
        <f>'Part IX A-Scoring Criteria'!C125</f>
        <v>Screening Activities:  Blood Pressure, Biometric, Health Risk, TB Risk</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15</v>
      </c>
      <c r="P1679" s="2821">
        <f>'Part IX A-Scoring Criteria'!P125</f>
        <v>0</v>
      </c>
      <c r="Q1679" s="2659" t="str">
        <f>IF(O1679&gt;15, "Too much!","")</f>
        <v/>
      </c>
      <c r="R1679" s="1156"/>
      <c r="S1679" s="1156"/>
      <c r="T1679" s="1156"/>
      <c r="U1679" s="1156"/>
      <c r="V1679" s="1156"/>
      <c r="W1679" s="1156"/>
      <c r="X1679" s="1156"/>
      <c r="Y1679" s="1156"/>
      <c r="Z1679" s="1156"/>
    </row>
    <row r="1680" spans="1:26" ht="112.5">
      <c r="A1680" s="2701"/>
      <c r="B1680" s="2713"/>
      <c r="C1680" s="2662" t="str">
        <f>'Part IX A-Scoring Criteria'!C126</f>
        <v>Screening Activities:  Immunizations, Diabetes/Blood Sugar Screening, Breast Cancer Screenings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15</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45">
      <c r="A1681" s="2701"/>
      <c r="B1681" s="2703"/>
      <c r="C1681" s="2662" t="str">
        <f>'Part IX A-Scoring Criteria'!C127</f>
        <v>Education:  Women's Health, Adult Health</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monthly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ht="56.25">
      <c r="A1682" s="2701"/>
      <c r="B1682" s="2703"/>
      <c r="C1682" s="2662" t="str">
        <f>'Part IX A-Scoring Criteria'!C128</f>
        <v>Education:  Nutrition, Diabetes Control, Cholesterol</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monthly</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4846</v>
      </c>
      <c r="D1683" s="478" t="s">
        <v>4029</v>
      </c>
      <c r="E1683" s="478"/>
      <c r="F1683" s="478"/>
      <c r="G1683" s="478"/>
      <c r="H1683" s="2766"/>
      <c r="I1683" s="2766"/>
      <c r="J1683" s="2766"/>
      <c r="K1683" s="2766"/>
      <c r="L1683" s="2766"/>
      <c r="M1683" s="2766"/>
      <c r="N1683" s="2713" t="s">
        <v>3808</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4030</v>
      </c>
      <c r="E1684" s="478"/>
      <c r="F1684" s="478"/>
      <c r="G1684" s="478"/>
      <c r="H1684" s="2766"/>
      <c r="I1684" s="2766"/>
      <c r="J1684" s="2766"/>
      <c r="K1684" s="2766"/>
      <c r="L1684" s="2766"/>
      <c r="M1684" s="2554"/>
      <c r="N1684" s="2703" t="s">
        <v>3809</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4178</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4207</v>
      </c>
      <c r="D1686" s="2701"/>
      <c r="E1686" s="2701"/>
      <c r="F1686" s="2701"/>
      <c r="G1686" s="2668" t="str">
        <f>'Part IX A-Scoring Criteria'!G132</f>
        <v>Yes</v>
      </c>
      <c r="H1686" s="2668">
        <f>'Part IX A-Scoring Criteria'!H132</f>
        <v>0</v>
      </c>
      <c r="I1686" s="2598" t="s">
        <v>4210</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4208</v>
      </c>
      <c r="D1687" s="2701"/>
      <c r="E1687" s="2701"/>
      <c r="F1687" s="2701"/>
      <c r="G1687" s="2668" t="str">
        <f>'Part IX A-Scoring Criteria'!G133</f>
        <v>Yes</v>
      </c>
      <c r="H1687" s="2668">
        <f>'Part IX A-Scoring Criteria'!H133</f>
        <v>0</v>
      </c>
      <c r="I1687" s="478" t="s">
        <v>4211</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4209</v>
      </c>
      <c r="D1688" s="2701"/>
      <c r="E1688" s="2701"/>
      <c r="F1688" s="2701"/>
      <c r="G1688" s="2668" t="str">
        <f>'Part IX A-Scoring Criteria'!G134</f>
        <v>Yes</v>
      </c>
      <c r="H1688" s="2668">
        <f>'Part IX A-Scoring Criteria'!H134</f>
        <v>0</v>
      </c>
      <c r="I1688" s="2598" t="s">
        <v>4212</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of Resident participating in the program</v>
      </c>
      <c r="D1689" s="2518">
        <f>'Part IX A-Scoring Criteria'!D135</f>
        <v>0</v>
      </c>
      <c r="E1689" s="2518">
        <f>'Part IX A-Scoring Criteria'!E135</f>
        <v>0</v>
      </c>
      <c r="F1689" s="2518">
        <f>'Part IX A-Scoring Criteria'!F135</f>
        <v>0</v>
      </c>
      <c r="G1689" s="2668" t="str">
        <f>'Part IX A-Scoring Criteria'!G135</f>
        <v>Yes</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3846</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4031</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4847</v>
      </c>
      <c r="D1693" s="2731"/>
      <c r="E1693" s="2731"/>
      <c r="F1693" s="2731"/>
      <c r="G1693" s="2598" t="s">
        <v>4033</v>
      </c>
      <c r="H1693" s="478"/>
      <c r="I1693" s="2731"/>
      <c r="J1693" s="2731"/>
      <c r="K1693" s="2731"/>
      <c r="L1693" s="2731"/>
      <c r="M1693" s="2703" t="s">
        <v>2451</v>
      </c>
      <c r="N1693" s="2703" t="s">
        <v>3808</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4034</v>
      </c>
      <c r="H1694" s="478"/>
      <c r="I1694" s="2731"/>
      <c r="J1694" s="2731"/>
      <c r="K1694" s="2731"/>
      <c r="L1694" s="2731"/>
      <c r="M1694" s="2660"/>
      <c r="N1694" s="2713" t="s">
        <v>3809</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4035</v>
      </c>
      <c r="H1695" s="478"/>
      <c r="I1695" s="2731"/>
      <c r="J1695" s="2731"/>
      <c r="K1695" s="2731"/>
      <c r="L1695" s="2731"/>
      <c r="M1695" s="2660"/>
      <c r="N1695" s="2703" t="s">
        <v>3810</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4036</v>
      </c>
      <c r="H1696" s="478"/>
      <c r="I1696" s="2731"/>
      <c r="J1696" s="2731"/>
      <c r="K1696" s="2731"/>
      <c r="L1696" s="2731"/>
      <c r="M1696" s="2660"/>
      <c r="N1696" s="2703" t="s">
        <v>3812</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4037</v>
      </c>
      <c r="H1697" s="478"/>
      <c r="I1697" s="2731"/>
      <c r="J1697" s="2731"/>
      <c r="K1697" s="2731"/>
      <c r="L1697" s="2731"/>
      <c r="M1697" s="2660"/>
      <c r="N1697" s="2713" t="s">
        <v>3813</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4848</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3861</v>
      </c>
      <c r="D1699" s="1156"/>
      <c r="E1699" s="478"/>
      <c r="F1699" s="478"/>
      <c r="G1699" s="1156" t="s">
        <v>4179</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22.5">
      <c r="A1700" s="2701"/>
      <c r="B1700" s="2703"/>
      <c r="C1700" s="2662" t="str">
        <f>'Part IX A-Scoring Criteria'!C146</f>
        <v>Healthy Food Choices</v>
      </c>
      <c r="D1700" s="2662">
        <f>'Part IX A-Scoring Criteria'!D146</f>
        <v>0</v>
      </c>
      <c r="E1700" s="2662">
        <f>'Part IX A-Scoring Criteria'!E146</f>
        <v>0</v>
      </c>
      <c r="F1700" s="2662">
        <f>'Part IX A-Scoring Criteria'!F146</f>
        <v>0</v>
      </c>
      <c r="G1700" s="2662" t="str">
        <f>'Part IX A-Scoring Criteria'!G146</f>
        <v>Gardening Basics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56.25">
      <c r="A1701" s="2701"/>
      <c r="B1701" s="2713"/>
      <c r="C1701" s="2662" t="str">
        <f>'Part IX A-Scoring Criteria'!C147</f>
        <v>Cooking Demonstrations (Crock Pot, Hot Plate, Grill)</v>
      </c>
      <c r="D1701" s="2662">
        <f>'Part IX A-Scoring Criteria'!D147</f>
        <v>0</v>
      </c>
      <c r="E1701" s="2662">
        <f>'Part IX A-Scoring Criteria'!E147</f>
        <v>0</v>
      </c>
      <c r="F1701" s="2662">
        <f>'Part IX A-Scoring Criteria'!F147</f>
        <v>0</v>
      </c>
      <c r="G1701" s="2662" t="str">
        <f>'Part IX A-Scoring Criteria'!G147</f>
        <v>Gardening Planning/Seed Starting/Transplanting</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4214</v>
      </c>
      <c r="B1702" s="2518"/>
      <c r="C1702" s="2662" t="str">
        <f>'Part IX A-Scoring Criteria'!C148</f>
        <v>Healthy Holiday Eating</v>
      </c>
      <c r="D1702" s="2662">
        <f>'Part IX A-Scoring Criteria'!D148</f>
        <v>0</v>
      </c>
      <c r="E1702" s="2662">
        <f>'Part IX A-Scoring Criteria'!E148</f>
        <v>0</v>
      </c>
      <c r="F1702" s="2662">
        <f>'Part IX A-Scoring Criteria'!F148</f>
        <v>0</v>
      </c>
      <c r="G1702" s="2662" t="str">
        <f>'Part IX A-Scoring Criteria'!G148</f>
        <v>Direct Seeding</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ht="33.75">
      <c r="A1703" s="2518"/>
      <c r="B1703" s="2518"/>
      <c r="C1703" s="2662" t="str">
        <f>'Part IX A-Scoring Criteria'!C149</f>
        <v>Nutrition Education/Meal Planning</v>
      </c>
      <c r="D1703" s="2662">
        <f>'Part IX A-Scoring Criteria'!D149</f>
        <v>0</v>
      </c>
      <c r="E1703" s="2662">
        <f>'Part IX A-Scoring Criteria'!E149</f>
        <v>0</v>
      </c>
      <c r="F1703" s="2662">
        <f>'Part IX A-Scoring Criteria'!F149</f>
        <v>0</v>
      </c>
      <c r="G1703" s="2662" t="str">
        <f>'Part IX A-Scoring Criteria'!G149</f>
        <v>Seasonal Planting</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4002</v>
      </c>
      <c r="C1707" s="2665"/>
      <c r="D1707" s="2665"/>
      <c r="E1707" s="2665"/>
      <c r="F1707" s="2665"/>
      <c r="G1707" s="2665"/>
      <c r="H1707" s="2665"/>
      <c r="I1707" s="2665"/>
      <c r="J1707" s="2665"/>
      <c r="K1707" s="2665"/>
      <c r="L1707" s="2665"/>
      <c r="M1707" s="2563">
        <v>5</v>
      </c>
      <c r="N1707" s="2783"/>
      <c r="O1707" s="2747">
        <f>'Part IX A-Scoring Criteria'!O153</f>
        <v>4</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4041</v>
      </c>
      <c r="C1709" s="2766"/>
      <c r="D1709" s="2813"/>
      <c r="E1709" s="2813"/>
      <c r="F1709" s="2766"/>
      <c r="G1709" s="2813"/>
      <c r="H1709" s="2813"/>
      <c r="I1709" s="2813"/>
      <c r="J1709" s="2813"/>
      <c r="K1709" s="2813"/>
      <c r="L1709" s="2813"/>
      <c r="M1709" s="2554">
        <v>3</v>
      </c>
      <c r="N1709" s="2785"/>
      <c r="O1709" s="2554">
        <f>'Part IX A-Scoring Criteria'!O155</f>
        <v>2</v>
      </c>
      <c r="P1709" s="2554">
        <f>'Part IX A-Scoring Criteria'!P155</f>
        <v>0</v>
      </c>
      <c r="Q1709" s="2766"/>
      <c r="R1709" s="2357"/>
      <c r="S1709" s="2766"/>
      <c r="T1709" s="2766"/>
      <c r="U1709" s="2766"/>
      <c r="V1709" s="2766"/>
      <c r="W1709" s="2766"/>
      <c r="X1709" s="2766"/>
      <c r="Y1709" s="2766"/>
      <c r="Z1709" s="2766"/>
    </row>
    <row r="1710" spans="1:26" ht="15">
      <c r="A1710" s="2748"/>
      <c r="B1710" s="2598" t="s">
        <v>3855</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4849</v>
      </c>
      <c r="C1712" s="2662"/>
      <c r="D1712" s="2662"/>
      <c r="E1712" s="478" t="s">
        <v>3852</v>
      </c>
      <c r="F1712" s="2766"/>
      <c r="G1712" s="478"/>
      <c r="H1712" s="2766"/>
      <c r="I1712" s="2627" t="str">
        <f>'Part IX A-Scoring Criteria'!I158</f>
        <v>City of Cartersville School District</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3854</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3850</v>
      </c>
      <c r="I1715" s="2627" t="s">
        <v>3895</v>
      </c>
      <c r="J1715" s="2627"/>
      <c r="K1715" s="2627"/>
      <c r="L1715" s="2627"/>
      <c r="M1715" s="2435" t="s">
        <v>3849</v>
      </c>
      <c r="N1715" s="2435"/>
      <c r="O1715" s="2435" t="s">
        <v>3853</v>
      </c>
      <c r="P1715" s="2435"/>
      <c r="Q1715" s="2627"/>
      <c r="R1715" s="2748"/>
      <c r="S1715" s="2748"/>
      <c r="T1715" s="2748"/>
      <c r="U1715" s="2748"/>
      <c r="V1715" s="2748"/>
      <c r="W1715" s="2748"/>
      <c r="X1715" s="2748"/>
      <c r="Y1715" s="2748"/>
      <c r="Z1715" s="2748"/>
    </row>
    <row r="1716" spans="1:26" ht="23.25">
      <c r="A1716" s="2581"/>
      <c r="B1716" s="2826" t="s">
        <v>3847</v>
      </c>
      <c r="C1716" s="2592"/>
      <c r="D1716" s="2357" t="s">
        <v>4850</v>
      </c>
      <c r="E1716" s="2357"/>
      <c r="F1716" s="2357"/>
      <c r="G1716" s="2686" t="s">
        <v>3420</v>
      </c>
      <c r="H1716" s="2670"/>
      <c r="I1716" s="2712">
        <v>2014</v>
      </c>
      <c r="J1716" s="2712">
        <v>2015</v>
      </c>
      <c r="K1716" s="2712">
        <v>2016</v>
      </c>
      <c r="L1716" s="2712">
        <v>2017</v>
      </c>
      <c r="M1716" s="2435"/>
      <c r="N1716" s="2435"/>
      <c r="O1716" s="2435"/>
      <c r="P1716" s="2435"/>
      <c r="Q1716" s="2827" t="s">
        <v>3848</v>
      </c>
      <c r="R1716" s="2827"/>
      <c r="S1716" s="2748"/>
      <c r="T1716" s="2748"/>
      <c r="U1716" s="2748"/>
      <c r="V1716" s="2748"/>
      <c r="W1716" s="2748"/>
      <c r="X1716" s="2748"/>
      <c r="Y1716" s="2748"/>
      <c r="Z1716" s="2748"/>
    </row>
    <row r="1717" spans="1:26" ht="33.75">
      <c r="A1717" s="2703" t="s">
        <v>2451</v>
      </c>
      <c r="B1717" s="2634" t="s">
        <v>4040</v>
      </c>
      <c r="C1717" s="2748"/>
      <c r="D1717" s="2627" t="str">
        <f>'Part IX A-Scoring Criteria'!D163</f>
        <v>Cartersville Elementary School</v>
      </c>
      <c r="E1717" s="2627">
        <f>'Part IX A-Scoring Criteria'!E163</f>
        <v>0</v>
      </c>
      <c r="F1717" s="2627">
        <f>'Part IX A-Scoring Criteria'!F163</f>
        <v>0</v>
      </c>
      <c r="G1717" s="2828" t="str">
        <f>'Part IX A-Scoring Criteria'!G163</f>
        <v>3-5</v>
      </c>
      <c r="H1717" s="2694" t="str">
        <f>'Part IX A-Scoring Criteria'!H163</f>
        <v>No</v>
      </c>
      <c r="I1717" s="2829">
        <f>'Part IX A-Scoring Criteria'!I163</f>
        <v>0</v>
      </c>
      <c r="J1717" s="2829">
        <f>'Part IX A-Scoring Criteria'!J163</f>
        <v>76.8</v>
      </c>
      <c r="K1717" s="2829">
        <f>'Part IX A-Scoring Criteria'!K163</f>
        <v>84.3</v>
      </c>
      <c r="L1717" s="2829">
        <f>'Part IX A-Scoring Criteria'!L163</f>
        <v>80.5</v>
      </c>
      <c r="M1717" s="2830">
        <f>IF(I1717+J1717+K1717+L1717=0,"",AVERAGE(I1717,J1717,K1717,L1717))</f>
        <v>60.4</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4215</v>
      </c>
      <c r="C1718" s="2748"/>
      <c r="D1718" s="2627" t="str">
        <f>'Part IX A-Scoring Criteria'!D164</f>
        <v>Cartersville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0</v>
      </c>
      <c r="J1718" s="2829">
        <f>'Part IX A-Scoring Criteria'!J164</f>
        <v>78.7</v>
      </c>
      <c r="K1718" s="2829">
        <f>'Part IX A-Scoring Criteria'!K164</f>
        <v>79.3</v>
      </c>
      <c r="L1718" s="2829">
        <f>'Part IX A-Scoring Criteria'!L164</f>
        <v>74.5</v>
      </c>
      <c r="M1718" s="2830">
        <f>IF(I1718+J1718+K1718+L1718=0,"",AVERAGE(I1718,J1718,K1718,L1718))</f>
        <v>58.125</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4038</v>
      </c>
      <c r="C1719" s="2748"/>
      <c r="D1719" s="2627" t="str">
        <f>'Part IX A-Scoring Criteria'!D165</f>
        <v>Cartersville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0</v>
      </c>
      <c r="J1719" s="2829">
        <f>'Part IX A-Scoring Criteria'!J165</f>
        <v>80.599999999999994</v>
      </c>
      <c r="K1719" s="2829">
        <f>'Part IX A-Scoring Criteria'!K165</f>
        <v>76.7</v>
      </c>
      <c r="L1719" s="2829">
        <f>'Part IX A-Scoring Criteria'!L165</f>
        <v>82.9</v>
      </c>
      <c r="M1719" s="2830">
        <f>IF(I1719+J1719+K1719+L1719=0,"",AVERAGE(I1719,J1719,K1719,L1719))</f>
        <v>60.050000000000004</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4040</v>
      </c>
      <c r="C1721" s="2748"/>
      <c r="D1721" s="2736" t="str">
        <f>IF(D1717="","",D1717)</f>
        <v>Cartersville Elementary School</v>
      </c>
      <c r="E1721" s="2748"/>
      <c r="F1721" s="2748"/>
      <c r="G1721" s="2712" t="str">
        <f t="shared" ref="G1721:H1723" si="325">IF(G1717="","",G1717)</f>
        <v>3-5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4039</v>
      </c>
      <c r="C1722" s="2748"/>
      <c r="D1722" s="2736" t="str">
        <f>IF(D1718="","",D1718)</f>
        <v>Cartersville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4038</v>
      </c>
      <c r="C1723" s="2748"/>
      <c r="D1723" s="2736" t="str">
        <f>IF(D1719="","",D1719)</f>
        <v>Cartersville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4042</v>
      </c>
      <c r="C1725" s="2766"/>
      <c r="D1725" s="2813"/>
      <c r="E1725" s="2813"/>
      <c r="F1725" s="2797" t="s">
        <v>3413</v>
      </c>
      <c r="G1725" s="2766"/>
      <c r="H1725" s="2598" t="s">
        <v>3896</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4218</v>
      </c>
      <c r="F1726" s="2832" t="s">
        <v>3686</v>
      </c>
      <c r="G1726" s="2558" t="s">
        <v>3421</v>
      </c>
      <c r="H1726" s="2558"/>
      <c r="I1726" s="2558"/>
      <c r="J1726" s="2558"/>
      <c r="K1726" s="2558"/>
      <c r="L1726" s="2558"/>
      <c r="M1726" s="2558"/>
      <c r="N1726" s="2558"/>
      <c r="O1726" s="1156"/>
      <c r="P1726" s="2737"/>
      <c r="Q1726" s="1156"/>
      <c r="R1726" s="1156" t="s">
        <v>2851</v>
      </c>
      <c r="S1726" s="1156"/>
      <c r="T1726" s="2725" t="str">
        <f>'Part I-Project Information'!$F$38</f>
        <v>Cartersville</v>
      </c>
      <c r="U1726" s="2725"/>
      <c r="V1726" s="2725"/>
      <c r="W1726" s="2725"/>
      <c r="X1726" s="2725"/>
      <c r="Y1726" s="1156"/>
      <c r="Z1726" s="1156"/>
    </row>
    <row r="1727" spans="1:26" ht="12.75" customHeight="1">
      <c r="A1727" s="2701"/>
      <c r="B1727" s="2832" t="s">
        <v>4045</v>
      </c>
      <c r="C1727" s="2832"/>
      <c r="D1727" s="2832"/>
      <c r="E1727" s="2832"/>
      <c r="F1727" s="2832"/>
      <c r="G1727" s="2662" t="s">
        <v>4044</v>
      </c>
      <c r="H1727" s="2662"/>
      <c r="I1727" s="2662"/>
      <c r="J1727" s="2662"/>
      <c r="K1727" s="2662"/>
      <c r="L1727" s="2662"/>
      <c r="M1727" s="2662"/>
      <c r="N1727" s="2662"/>
      <c r="O1727" s="2832" t="s">
        <v>3687</v>
      </c>
      <c r="P1727" s="2832"/>
      <c r="Q1727" s="1156"/>
      <c r="R1727" s="2725" t="s">
        <v>2852</v>
      </c>
      <c r="S1727" s="1156"/>
      <c r="T1727" s="2725" t="str">
        <f>'Part I-Project Information'!$J$39</f>
        <v>Bartow</v>
      </c>
      <c r="U1727" s="2725"/>
      <c r="V1727" s="2725"/>
      <c r="W1727" s="2725"/>
      <c r="X1727" s="2725"/>
      <c r="Y1727" s="1156"/>
      <c r="Z1727" s="1156"/>
    </row>
    <row r="1728" spans="1:26">
      <c r="A1728" s="2701"/>
      <c r="B1728" s="478" t="s">
        <v>3856</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4043</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3889</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3890</v>
      </c>
      <c r="C1731" s="1156"/>
      <c r="D1731" s="1156"/>
      <c r="E1731" s="2836"/>
      <c r="F1731" s="2836"/>
      <c r="G1731" s="2836"/>
      <c r="H1731" s="1156"/>
      <c r="I1731" s="2836">
        <f>'Part IX A-Scoring Criteria'!I177</f>
        <v>9000</v>
      </c>
      <c r="J1731" s="2836">
        <f>'Part IX A-Scoring Criteria'!J177</f>
        <v>0</v>
      </c>
      <c r="K1731" s="1156"/>
      <c r="L1731" s="1156"/>
      <c r="M1731" s="1156"/>
      <c r="N1731" s="1156"/>
      <c r="O1731" s="1156"/>
      <c r="P1731" s="1156"/>
      <c r="Q1731" s="1156"/>
      <c r="R1731" s="1156" t="s">
        <v>3652</v>
      </c>
      <c r="S1731" s="1156"/>
      <c r="T1731" s="2725" t="str">
        <f>'Part I-Project Information'!$K$40</f>
        <v>Rural</v>
      </c>
      <c r="U1731" s="2725"/>
      <c r="V1731" s="2725"/>
      <c r="W1731" s="2725"/>
      <c r="X1731" s="2725"/>
      <c r="Y1731" s="1156"/>
      <c r="Z1731" s="1156"/>
    </row>
    <row r="1732" spans="1:26" ht="13.5">
      <c r="A1732" s="2726"/>
      <c r="B1732" s="2736" t="s">
        <v>3651</v>
      </c>
      <c r="C1732" s="1156"/>
      <c r="D1732" s="1156"/>
      <c r="E1732" s="1156"/>
      <c r="F1732" s="1156"/>
      <c r="G1732" s="1156"/>
      <c r="H1732" s="2837" t="str">
        <f>IF(I1732&lt;I1731,"Threshold not met!","")</f>
        <v/>
      </c>
      <c r="I1732" s="2836">
        <f>'Part IX A-Scoring Criteria'!I178</f>
        <v>11752</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4217</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4046</v>
      </c>
      <c r="D1735" s="2825"/>
      <c r="E1735" s="2825"/>
      <c r="F1735" s="2825"/>
      <c r="G1735" s="1156"/>
      <c r="H1735" s="2838" t="s">
        <v>2004</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3913</v>
      </c>
      <c r="D1736" s="2825"/>
      <c r="E1736" s="2825"/>
      <c r="F1736" s="2825"/>
      <c r="G1736" s="2814"/>
      <c r="H1736" s="1156"/>
      <c r="I1736" s="2718">
        <f>'Part IX A-Scoring Criteria'!I182</f>
        <v>0.3057777777777777</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3780</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202.5">
      <c r="A1739" s="2662" t="str">
        <f>'Part IX A-Scoring Criteria'!A185</f>
        <v>The schools in the site's attendance district all exceed the state average.  The 2 mile ring from the property listed 11,752 jobs exceeding the minimum threshold as required for the points.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4052</v>
      </c>
      <c r="C1743" s="2766"/>
      <c r="D1743" s="2767"/>
      <c r="E1743" s="2767"/>
      <c r="F1743" s="2766"/>
      <c r="G1743" s="2766"/>
      <c r="H1743" s="2599" t="s">
        <v>4053</v>
      </c>
      <c r="I1743" s="2840"/>
      <c r="J1743" s="2840"/>
      <c r="K1743" s="2660"/>
      <c r="L1743" s="2660"/>
      <c r="M1743" s="2563">
        <v>7</v>
      </c>
      <c r="N1743" s="2554"/>
      <c r="O1743" s="2747">
        <f>'Part IX A-Scoring Criteria'!O189</f>
        <v>3</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4851</v>
      </c>
      <c r="C1745" s="2570"/>
      <c r="D1745" s="2570"/>
      <c r="E1745" s="2357" t="s">
        <v>4227</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4181</v>
      </c>
      <c r="D1747" s="2662"/>
      <c r="E1747" s="2662"/>
      <c r="F1747" s="2662"/>
      <c r="G1747" s="2662"/>
      <c r="H1747" s="2662"/>
      <c r="I1747" s="2662"/>
      <c r="J1747" s="2713" t="s">
        <v>2451</v>
      </c>
      <c r="K1747" s="2668" t="str">
        <f>'Part IX A-Scoring Criteria'!K193</f>
        <v>Yes</v>
      </c>
      <c r="L1747" s="2668">
        <f>'Part IX A-Scoring Criteria'!L193</f>
        <v>0</v>
      </c>
      <c r="M1747" s="2842">
        <f>'Part IX A-Scoring Criteria'!M193</f>
        <v>2</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4852</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p. 27-39; Survey 40-79</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2843</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p. 19, 22</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4057</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19-21</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4225</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4047</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p. 4-6; 119, 127, 133</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2844</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22, 24</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4048</v>
      </c>
      <c r="D1755" s="2687"/>
      <c r="E1755" s="2687"/>
      <c r="F1755" s="2687"/>
      <c r="G1755" s="2679"/>
      <c r="H1755" s="2679"/>
      <c r="I1755" s="2679"/>
      <c r="J1755" s="2713" t="s">
        <v>2472</v>
      </c>
      <c r="K1755" s="2668" t="str">
        <f>'Part IX A-Scoring Criteria'!K201</f>
        <v>No</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4049</v>
      </c>
      <c r="E1756" s="2687"/>
      <c r="F1756" s="2844">
        <f>'Part IX A-Scoring Criteria'!F202</f>
        <v>0</v>
      </c>
      <c r="G1756" s="2844">
        <f>'Part IX A-Scoring Criteria'!G202</f>
        <v>0</v>
      </c>
      <c r="H1756" s="2679"/>
      <c r="I1756" s="2687" t="s">
        <v>4050</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4853</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192">
      <c r="B1759" s="2695" t="s">
        <v>4182</v>
      </c>
      <c r="E1759" s="2355"/>
      <c r="G1759" s="2810" t="str">
        <f>'Part IX A-Scoring Criteria'!G205</f>
        <v>https://onedrive.live.com/?authkey=%21ABDd9vYMCV5nm34&amp;cid=4B401222422CBE3C&amp;id=4B4012224
22CBE3C%21120&amp;parId=4B401222422CBE3C%21116&amp;o=OneUp</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4051</v>
      </c>
      <c r="M1761" s="2554">
        <v>5</v>
      </c>
      <c r="N1761" s="2701" t="s">
        <v>1999</v>
      </c>
      <c r="O1761" s="2845">
        <f>'Part IX A-Scoring Criteria'!O207</f>
        <v>3</v>
      </c>
      <c r="P1761" s="2845">
        <f>'Part IX A-Scoring Criteria'!P207</f>
        <v>0</v>
      </c>
      <c r="Q1761" s="2407"/>
      <c r="X1761" s="2552"/>
      <c r="Y1761" s="2703"/>
    </row>
    <row r="1762" spans="1:26" ht="12.75" customHeight="1">
      <c r="A1762" s="2701"/>
      <c r="B1762" s="2824" t="s">
        <v>2002</v>
      </c>
      <c r="C1762" s="2662" t="s">
        <v>4854</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2724</v>
      </c>
    </row>
    <row r="1763" spans="1:26" ht="12.75" customHeight="1">
      <c r="A1763" s="2701"/>
      <c r="B1763" s="2824" t="s">
        <v>2004</v>
      </c>
      <c r="C1763" s="2737" t="s">
        <v>4855</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2724</v>
      </c>
    </row>
    <row r="1764" spans="1:26">
      <c r="A1764" s="2701"/>
      <c r="B1764" s="2736"/>
      <c r="C1764" s="2736" t="s">
        <v>3805</v>
      </c>
      <c r="E1764" s="2736" t="str">
        <f>'Part I-Project Information'!$N$39</f>
        <v>No</v>
      </c>
      <c r="G1764" s="2736" t="s">
        <v>3600</v>
      </c>
      <c r="I1764" s="2846" t="str">
        <f>'Part I-Project Information'!$O$38</f>
        <v>9607</v>
      </c>
      <c r="J1764" s="2846"/>
      <c r="K1764" s="2598" t="s">
        <v>3397</v>
      </c>
      <c r="M1764" s="2598" t="str">
        <f>'Part IV-A-Uses of Funds'!$H$152</f>
        <v>&lt;&lt;Select&gt;&gt;</v>
      </c>
    </row>
    <row r="1765" spans="1:26">
      <c r="A1765" s="2701"/>
      <c r="B1765" s="2736"/>
      <c r="D1765" s="2712"/>
      <c r="E1765" s="2736"/>
      <c r="G1765" s="2598"/>
      <c r="K1765" s="2598"/>
      <c r="L1765" s="2598"/>
    </row>
    <row r="1766" spans="1:26">
      <c r="A1766" s="2581" t="s">
        <v>2001</v>
      </c>
      <c r="B1766" s="2570" t="s">
        <v>4054</v>
      </c>
      <c r="D1766" s="2355"/>
      <c r="K1766" s="2586"/>
      <c r="L1766" s="2711" t="str">
        <f>IF(OR($O1766=$M1766,$O1766=0,$O1766=""),"","* * Check Score! * *")</f>
        <v/>
      </c>
      <c r="M1766" s="2554">
        <v>2</v>
      </c>
      <c r="N1766" s="2701" t="s">
        <v>2001</v>
      </c>
      <c r="O1766" s="2747">
        <f>'Part IX A-Scoring Criteria'!O212</f>
        <v>0</v>
      </c>
      <c r="P1766" s="2747">
        <f>'Part IX A-Scoring Criteria'!P212</f>
        <v>0</v>
      </c>
      <c r="Q1766" s="2787" t="str">
        <f>IF(OR($O1766=$M1766,$O1766=0,$O1766=""),"","*CHECK!*")</f>
        <v/>
      </c>
      <c r="R1766" s="2352" t="s">
        <v>2724</v>
      </c>
    </row>
    <row r="1767" spans="1:26" ht="18.75">
      <c r="A1767" s="2581"/>
      <c r="B1767" s="478" t="s">
        <v>2812</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3886</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3887</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3650</v>
      </c>
      <c r="N1769" s="2748"/>
      <c r="O1769" s="2748"/>
      <c r="P1769" s="2748"/>
      <c r="Q1769" s="2748"/>
      <c r="R1769" s="2748"/>
      <c r="S1769" s="2748"/>
      <c r="T1769" s="2748"/>
      <c r="U1769" s="2748"/>
      <c r="V1769" s="2815"/>
      <c r="W1769" s="2815"/>
      <c r="X1769" s="2748"/>
      <c r="Y1769" s="2748"/>
      <c r="Z1769" s="2748"/>
    </row>
    <row r="1770" spans="1:26" ht="18.75">
      <c r="A1770" s="2641"/>
      <c r="B1770" s="2736" t="s">
        <v>4241</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3816</v>
      </c>
      <c r="G1771" s="2687"/>
      <c r="J1771" s="2848">
        <f>'Part IX A-Scoring Criteria'!J217</f>
        <v>0</v>
      </c>
      <c r="K1771" s="2849" t="s">
        <v>3815</v>
      </c>
      <c r="L1771" s="2679"/>
      <c r="N1771" s="2550"/>
      <c r="O1771" s="2552"/>
      <c r="P1771" s="2552"/>
      <c r="V1771" s="2815"/>
      <c r="W1771" s="2815"/>
    </row>
    <row r="1772" spans="1:26" ht="18.75" customHeight="1">
      <c r="A1772" s="2850" t="s">
        <v>4222</v>
      </c>
      <c r="B1772" s="2662" t="s">
        <v>4219</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4220</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4221</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4545</v>
      </c>
      <c r="D1776" s="2665"/>
      <c r="E1776" s="2748"/>
      <c r="F1776" s="2748"/>
      <c r="G1776" s="2852">
        <f>'Part IV-A-Uses of Funds'!$G$132</f>
        <v>13449266.200550128</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3780</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191.25">
      <c r="A1778" s="2662" t="str">
        <f>'Part IX A-Scoring Criteria'!A224</f>
        <v>The Transformation Plan was approved and scored points in the 2017 round.  This plan is being used in place of the Revitalization Plan for this section as allowed in the QAP.</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4055</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4058</v>
      </c>
      <c r="C1783" s="2748"/>
      <c r="D1783" s="1156" t="s">
        <v>4059</v>
      </c>
      <c r="E1783" s="2748"/>
      <c r="F1783" s="2748"/>
      <c r="G1783" s="2748"/>
      <c r="H1783" s="2748"/>
      <c r="I1783" s="2748"/>
      <c r="J1783" s="2748"/>
      <c r="K1783" s="2845">
        <f>'Part IX A-Scoring Criteria'!K229</f>
        <v>3</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4060</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4061</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4062</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4063</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4856</v>
      </c>
      <c r="D1789" s="2355"/>
      <c r="G1789" s="2736" t="s">
        <v>3811</v>
      </c>
      <c r="Q1789" s="2407"/>
    </row>
    <row r="1790" spans="1:26">
      <c r="A1790" s="2701"/>
      <c r="B1790" s="478" t="s">
        <v>3891</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4064</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4857</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4068</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4068</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4069</v>
      </c>
      <c r="D1799" s="2687"/>
      <c r="E1799" s="2687"/>
      <c r="F1799" s="2687"/>
      <c r="G1799" s="2736" t="s">
        <v>3811</v>
      </c>
      <c r="H1799" s="2687"/>
      <c r="I1799" s="2687"/>
      <c r="J1799" s="2687"/>
      <c r="K1799" s="2687"/>
      <c r="L1799" s="2687"/>
      <c r="M1799" s="2687"/>
      <c r="N1799" s="2687"/>
      <c r="O1799" s="2660" t="s">
        <v>2527</v>
      </c>
      <c r="P1799" s="2660" t="s">
        <v>2527</v>
      </c>
      <c r="Q1799" s="2687"/>
    </row>
    <row r="1800" spans="1:26" ht="18.75" customHeight="1">
      <c r="A1800" s="2701"/>
      <c r="B1800" s="2855"/>
      <c r="C1800" s="2662" t="s">
        <v>4858</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4185</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4183</v>
      </c>
      <c r="D1805" s="2665"/>
      <c r="E1805" s="2665"/>
      <c r="F1805" s="2665"/>
      <c r="G1805" s="2665"/>
      <c r="H1805" s="2665"/>
      <c r="I1805" s="2665"/>
      <c r="J1805" s="2665"/>
      <c r="K1805" s="2665"/>
      <c r="L1805" s="2662" t="s">
        <v>4187</v>
      </c>
      <c r="M1805" s="2662"/>
      <c r="N1805" s="2687" t="s">
        <v>4188</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4070</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4074</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3814</v>
      </c>
      <c r="D1811" s="2355"/>
      <c r="Q1811" s="2554"/>
    </row>
    <row r="1812" spans="1:26" ht="18.75" customHeight="1">
      <c r="A1812" s="2701"/>
      <c r="B1812" s="2856"/>
      <c r="C1812" s="2662" t="s">
        <v>4076</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4077</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4078</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4859</v>
      </c>
      <c r="D1816" s="2355"/>
      <c r="G1816" s="2736" t="s">
        <v>3811</v>
      </c>
      <c r="O1816" s="2660" t="s">
        <v>2527</v>
      </c>
      <c r="P1816" s="2660" t="s">
        <v>2527</v>
      </c>
      <c r="Q1816" s="2407"/>
    </row>
    <row r="1817" spans="1:26" ht="18.75" customHeight="1">
      <c r="A1817" s="2701"/>
      <c r="B1817" s="2824" t="s">
        <v>2002</v>
      </c>
      <c r="C1817" s="2662" t="s">
        <v>4072</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4073</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3780</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229.5">
      <c r="A1820" s="2433" t="str">
        <f>'Part IX A-Scoring Criteria'!A266</f>
        <v>We are not selecting Transformation Points for this application.  We are using our 2017 Approved Transformation Plan from 2017 for the VIII Revitalization/Redevelopment Plan points as allowed in the QAP.</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4229</v>
      </c>
      <c r="I1824" s="2766"/>
      <c r="J1824" s="2766"/>
      <c r="K1824" s="2766"/>
      <c r="L1824" s="2766"/>
      <c r="M1824" s="2563">
        <v>7</v>
      </c>
      <c r="N1824" s="2554"/>
      <c r="O1824" s="2566">
        <f>'Part IX A-Scoring Criteria'!O270</f>
        <v>3</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3626</v>
      </c>
      <c r="B1826" s="2570" t="s">
        <v>3624</v>
      </c>
      <c r="C1826" s="2766"/>
      <c r="D1826" s="2767"/>
      <c r="E1826" s="2767"/>
      <c r="F1826" s="2766"/>
      <c r="G1826" s="2766"/>
      <c r="H1826" s="2357"/>
      <c r="I1826" s="2766"/>
      <c r="J1826" s="2766"/>
      <c r="K1826" s="2766"/>
      <c r="L1826" s="2766"/>
      <c r="M1826" s="2554">
        <v>3</v>
      </c>
      <c r="N1826" s="2810" t="s">
        <v>4082</v>
      </c>
      <c r="O1826" s="2566">
        <f>'Part IX A-Scoring Criteria'!O272</f>
        <v>3</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Rural</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2757</v>
      </c>
      <c r="G1829" s="1156" t="s">
        <v>2405</v>
      </c>
      <c r="H1829" s="2862">
        <f>'Part IX A-Scoring Criteria'!H275</f>
        <v>0.1</v>
      </c>
      <c r="I1829" s="1156" t="s">
        <v>2758</v>
      </c>
      <c r="L1829" s="478" t="s">
        <v>2756</v>
      </c>
      <c r="M1829" s="2659" t="str">
        <f>IF(O1829&gt;H1829,"CHECK ACTUAL PERCENT!!!","")</f>
        <v/>
      </c>
      <c r="N1829" s="2785" t="s">
        <v>2004</v>
      </c>
      <c r="O1829" s="2863">
        <f>'Part IX A-Scoring Criteria'!O275</f>
        <v>8.5699999999999998E-2</v>
      </c>
      <c r="P1829" s="2863">
        <f>'Part IX A-Scoring Criteria'!P275</f>
        <v>0</v>
      </c>
      <c r="Q1829" s="2861"/>
      <c r="R1829" s="2861"/>
    </row>
    <row r="1830" spans="1:26" ht="12.75" customHeight="1">
      <c r="B1830" s="2819" t="s">
        <v>2551</v>
      </c>
      <c r="C1830" s="1156" t="s">
        <v>2406</v>
      </c>
      <c r="G1830" s="1156" t="s">
        <v>2407</v>
      </c>
      <c r="L1830" s="2598" t="s">
        <v>2750</v>
      </c>
      <c r="M1830" s="2355"/>
      <c r="N1830" s="2785" t="s">
        <v>2551</v>
      </c>
      <c r="O1830" s="2660" t="str">
        <f>'Part IX A-Scoring Criteria'!O276</f>
        <v>Middle</v>
      </c>
      <c r="P1830" s="2660" t="str">
        <f>'Part IX A-Scoring Criteria'!P276</f>
        <v>&lt;Select&gt;</v>
      </c>
      <c r="Q1830" s="2861"/>
      <c r="R1830" s="2861"/>
    </row>
    <row r="1831" spans="1:26" ht="12.75" customHeight="1">
      <c r="A1831" s="2679"/>
      <c r="B1831" s="2824" t="s">
        <v>1236</v>
      </c>
      <c r="C1831" s="2662" t="s">
        <v>4860</v>
      </c>
      <c r="D1831" s="2662"/>
      <c r="E1831" s="2662"/>
      <c r="F1831" s="2662"/>
      <c r="G1831" s="2662"/>
      <c r="H1831" s="2662"/>
      <c r="I1831" s="2662"/>
      <c r="J1831" s="2864" t="s">
        <v>4081</v>
      </c>
      <c r="K1831" s="2864" t="s">
        <v>4079</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4144</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3625</v>
      </c>
      <c r="C1834" s="1156"/>
      <c r="G1834" s="1156"/>
      <c r="M1834" s="2554">
        <v>2</v>
      </c>
      <c r="N1834" s="2584" t="s">
        <v>757</v>
      </c>
      <c r="O1834" s="2566">
        <f>'Part IX A-Scoring Criteria'!O280</f>
        <v>0</v>
      </c>
      <c r="P1834" s="2566">
        <f>'Part IX A-Scoring Criteria'!P280</f>
        <v>0</v>
      </c>
    </row>
    <row r="1835" spans="1:26">
      <c r="A1835" s="2605"/>
      <c r="B1835" s="2725" t="s">
        <v>3629</v>
      </c>
      <c r="C1835" s="2725"/>
      <c r="D1835" s="2725"/>
      <c r="E1835" s="2725"/>
      <c r="F1835" s="2725"/>
      <c r="G1835" s="2725"/>
      <c r="H1835" s="2670"/>
      <c r="I1835" s="2670"/>
      <c r="N1835" s="2550"/>
      <c r="O1835" s="2660" t="str">
        <f>'Part IX A-Scoring Criteria'!O281</f>
        <v>&lt;Select&gt;</v>
      </c>
      <c r="P1835" s="2660" t="str">
        <f>'Part IX A-Scoring Criteria'!P281</f>
        <v>&lt;Select&gt;</v>
      </c>
    </row>
    <row r="1836" spans="1:26">
      <c r="A1836" s="2605" t="s">
        <v>2131</v>
      </c>
      <c r="B1836" s="2819" t="s">
        <v>3627</v>
      </c>
      <c r="C1836" s="1156"/>
      <c r="G1836" s="2736" t="s">
        <v>3628</v>
      </c>
      <c r="H1836" s="2870">
        <f>'Part VI-Revenues &amp; Expenses'!$O$59</f>
        <v>10</v>
      </c>
      <c r="I1836" s="2712" t="s">
        <v>3631</v>
      </c>
      <c r="J1836" s="2870">
        <f>'Part VI-Revenues &amp; Expenses'!$O$62</f>
        <v>72</v>
      </c>
      <c r="K1836" s="2712" t="s">
        <v>3632</v>
      </c>
      <c r="L1836" s="2871">
        <f>IF(J1836=0,0,H1836/J1836)</f>
        <v>0.1388888888888889</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4083</v>
      </c>
      <c r="C1840" s="2766"/>
      <c r="D1840" s="2767"/>
      <c r="E1840" s="2767"/>
      <c r="F1840" s="2766"/>
      <c r="G1840" s="2766"/>
      <c r="H1840" s="2357"/>
      <c r="I1840" s="2872" t="s">
        <v>3827</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3818</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N/a</v>
      </c>
      <c r="P1841" s="2668">
        <f>'Part IX A-Scoring Criteria'!P287</f>
        <v>0</v>
      </c>
      <c r="U1841" s="2712">
        <f>IF(L1841="Yes",1,0)</f>
        <v>0</v>
      </c>
    </row>
    <row r="1842" spans="1:26">
      <c r="A1842" s="2562" t="s">
        <v>2001</v>
      </c>
      <c r="B1842" s="2873" t="s">
        <v>3819</v>
      </c>
      <c r="D1842" s="2722"/>
      <c r="L1842" s="2722"/>
      <c r="M1842" s="2874"/>
      <c r="N1842" s="2703" t="s">
        <v>2001</v>
      </c>
      <c r="O1842" s="2668" t="str">
        <f>'Part IX A-Scoring Criteria'!O288</f>
        <v>N/a</v>
      </c>
      <c r="P1842" s="2668">
        <f>'Part IX A-Scoring Criteria'!P288</f>
        <v>0</v>
      </c>
      <c r="U1842" s="2712">
        <f>IF(L1842="Yes",1,0)</f>
        <v>0</v>
      </c>
    </row>
    <row r="1843" spans="1:26" ht="15">
      <c r="A1843" s="2355"/>
      <c r="B1843" s="2767" t="s">
        <v>3780</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56.25">
      <c r="A1844" s="2662" t="str">
        <f>'Part IX A-Scoring Criteria'!A290</f>
        <v>This project is not eligible for these points.</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2812</v>
      </c>
      <c r="K1848" s="2556"/>
      <c r="L1848" s="2659" t="str">
        <f>'Part I-Project Information'!$H$100</f>
        <v>Rural</v>
      </c>
      <c r="M1848" s="2563">
        <v>4</v>
      </c>
      <c r="N1848" s="2554"/>
      <c r="O1848" s="2563">
        <f>'Part IX A-Scoring Criteria'!O294</f>
        <v>0</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4861</v>
      </c>
      <c r="D1849" s="2355"/>
      <c r="E1849" s="2355"/>
      <c r="F1849" s="2355"/>
      <c r="H1849" s="2659" t="s">
        <v>3709</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2724</v>
      </c>
    </row>
    <row r="1850" spans="1:26" ht="12.75" customHeight="1">
      <c r="A1850" s="1156"/>
      <c r="B1850" s="2824" t="s">
        <v>2002</v>
      </c>
      <c r="C1850" s="2662" t="s">
        <v>4242</v>
      </c>
      <c r="D1850" s="2662"/>
      <c r="E1850" s="2662"/>
      <c r="F1850" s="2662"/>
      <c r="G1850" s="2662"/>
      <c r="H1850" s="2662"/>
      <c r="I1850" s="2662"/>
      <c r="J1850" s="2662"/>
      <c r="K1850" s="2662"/>
      <c r="L1850" s="2662"/>
      <c r="M1850" s="2662"/>
      <c r="N1850" s="2774" t="s">
        <v>2002</v>
      </c>
      <c r="O1850" s="2714" t="str">
        <f>'Part IX A-Scoring Criteria'!O296</f>
        <v>N/a</v>
      </c>
      <c r="P1850" s="2714">
        <f>'Part IX A-Scoring Criteria'!P296</f>
        <v>0</v>
      </c>
      <c r="Q1850" s="2662" t="s">
        <v>4862</v>
      </c>
      <c r="R1850" s="2662"/>
      <c r="S1850" s="2662"/>
      <c r="T1850" s="2662"/>
      <c r="U1850" s="2662"/>
      <c r="V1850" s="2662"/>
      <c r="W1850" s="2662"/>
      <c r="X1850" s="2662"/>
      <c r="Y1850" s="2662"/>
      <c r="Z1850" s="2662"/>
    </row>
    <row r="1851" spans="1:26">
      <c r="A1851" s="478"/>
      <c r="B1851" s="2819"/>
      <c r="C1851" s="478" t="s">
        <v>3833</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3888</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t="str">
        <f>'Part IX A-Scoring Criteria'!O299</f>
        <v>N/a</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t="str">
        <f>'Part IX A-Scoring Criteria'!O300</f>
        <v>N/a</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t="str">
        <f>'Part IX A-Scoring Criteria'!O301</f>
        <v>N/a</v>
      </c>
      <c r="P1855" s="2668">
        <f>'Part IX A-Scoring Criteria'!P301</f>
        <v>0</v>
      </c>
      <c r="Q1855" s="478"/>
      <c r="R1855" s="478"/>
      <c r="S1855" s="478"/>
      <c r="T1855" s="478"/>
      <c r="U1855" s="478"/>
      <c r="V1855" s="478"/>
      <c r="W1855" s="478"/>
      <c r="X1855" s="478"/>
      <c r="Y1855" s="478"/>
      <c r="Z1855" s="478"/>
    </row>
    <row r="1856" spans="1:26">
      <c r="A1856" s="2562" t="s">
        <v>2001</v>
      </c>
      <c r="B1856" s="2570" t="s">
        <v>4863</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3633</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4864</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4865</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4866</v>
      </c>
      <c r="C1860" s="2355"/>
      <c r="D1860" s="2355"/>
      <c r="E1860" s="2355"/>
      <c r="F1860" s="2355"/>
      <c r="G1860" s="2355"/>
      <c r="H1860" s="2797" t="s">
        <v>4089</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3636</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3635</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4867</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2724</v>
      </c>
    </row>
    <row r="1864" spans="1:26">
      <c r="A1864" s="2668" t="s">
        <v>1365</v>
      </c>
      <c r="B1864" s="2824" t="s">
        <v>2551</v>
      </c>
      <c r="C1864" s="2719" t="s">
        <v>4868</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3780</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78.75">
      <c r="A1866" s="2662" t="str">
        <f>'Part IX A-Scoring Criteria'!A312</f>
        <v>No Phases or Previous Project Points are selected in this application.</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4090</v>
      </c>
      <c r="C1874" s="2748"/>
      <c r="D1874" s="478"/>
      <c r="E1874" s="2748"/>
      <c r="F1874" s="2748"/>
      <c r="G1874" s="2748"/>
      <c r="H1874" s="2660"/>
      <c r="I1874" s="2748"/>
      <c r="J1874" s="2748"/>
      <c r="K1874" s="478"/>
      <c r="L1874" s="2766"/>
      <c r="M1874" s="2554"/>
      <c r="N1874" s="2703"/>
      <c r="O1874" s="2668" t="str">
        <f>'Part IX A-Scoring Criteria'!O320</f>
        <v>No</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4091</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4092</v>
      </c>
      <c r="C1879" s="2620"/>
      <c r="D1879" s="2725"/>
      <c r="E1879" s="478"/>
      <c r="F1879" s="2748"/>
      <c r="G1879" s="2607" t="str">
        <f>'Part IX A-Scoring Criteria'!G325</f>
        <v>Resource Housing Group, Inc.</v>
      </c>
      <c r="H1879" s="2748"/>
      <c r="I1879" s="2748"/>
      <c r="J1879" s="2598" t="s">
        <v>2703</v>
      </c>
      <c r="K1879" s="2748"/>
      <c r="L1879" s="478"/>
      <c r="M1879" s="2748"/>
      <c r="N1879" s="2748"/>
      <c r="O1879" s="2557" t="str">
        <f>'Part I-Project Information'!$H$96</f>
        <v>Yes</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t="str">
        <f>'Part IX A-Scoring Criteria'!O326</f>
        <v>N/a</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4111</v>
      </c>
      <c r="D1881" s="2355"/>
      <c r="E1881" s="2766"/>
      <c r="F1881" s="2766"/>
      <c r="G1881" s="2766"/>
      <c r="H1881" s="2766"/>
      <c r="I1881" s="2766"/>
      <c r="J1881" s="2766"/>
      <c r="K1881" s="2766"/>
      <c r="L1881" s="2766"/>
      <c r="M1881" s="2766"/>
      <c r="N1881" s="2817" t="s">
        <v>2004</v>
      </c>
      <c r="O1881" s="2668" t="str">
        <f>'Part IX A-Scoring Criteria'!O327</f>
        <v>N/a</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4110</v>
      </c>
      <c r="D1882" s="2355"/>
      <c r="E1882" s="2766"/>
      <c r="F1882" s="2766"/>
      <c r="G1882" s="2766"/>
      <c r="H1882" s="2766"/>
      <c r="I1882" s="2766"/>
      <c r="J1882" s="2766"/>
      <c r="K1882" s="2766"/>
      <c r="L1882" s="2766"/>
      <c r="M1882" s="2766"/>
      <c r="N1882" s="2817" t="s">
        <v>2551</v>
      </c>
      <c r="O1882" s="2668" t="str">
        <f>'Part IX A-Scoring Criteria'!O328</f>
        <v>N/a</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4112</v>
      </c>
      <c r="D1883" s="2355"/>
      <c r="E1883" s="2766"/>
      <c r="F1883" s="2766"/>
      <c r="G1883" s="2766"/>
      <c r="H1883" s="2766"/>
      <c r="I1883" s="2766"/>
      <c r="J1883" s="2766"/>
      <c r="K1883" s="2766"/>
      <c r="L1883" s="2766"/>
      <c r="M1883" s="2766"/>
      <c r="N1883" s="2817" t="s">
        <v>1236</v>
      </c>
      <c r="O1883" s="2668" t="str">
        <f>'Part IX A-Scoring Criteria'!O329</f>
        <v>N/a</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4093</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t="str">
        <f>'Part IX A-Scoring Criteria'!O331</f>
        <v>N/a</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4124</v>
      </c>
      <c r="D1886" s="2355"/>
      <c r="E1886" s="2766"/>
      <c r="F1886" s="2766"/>
      <c r="G1886" s="2766"/>
      <c r="H1886" s="2766"/>
      <c r="I1886" s="2766"/>
      <c r="J1886" s="2766"/>
      <c r="K1886" s="2766"/>
      <c r="L1886" s="2766"/>
      <c r="M1886" s="2766"/>
      <c r="N1886" s="2817" t="s">
        <v>2004</v>
      </c>
      <c r="O1886" s="2668" t="str">
        <f>'Part IX A-Scoring Criteria'!O332</f>
        <v>N/a</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4112</v>
      </c>
      <c r="D1887" s="2355"/>
      <c r="E1887" s="2766"/>
      <c r="F1887" s="2766"/>
      <c r="G1887" s="2766"/>
      <c r="H1887" s="2766"/>
      <c r="I1887" s="2766"/>
      <c r="J1887" s="2766"/>
      <c r="K1887" s="2766"/>
      <c r="L1887" s="2766"/>
      <c r="M1887" s="2766"/>
      <c r="N1887" s="2817" t="s">
        <v>2551</v>
      </c>
      <c r="O1887" s="2668" t="str">
        <f>'Part IX A-Scoring Criteria'!O333</f>
        <v>N/a</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4094</v>
      </c>
      <c r="C1891" s="2808"/>
      <c r="D1891" s="2808"/>
      <c r="E1891" s="2808"/>
      <c r="F1891" s="2808"/>
      <c r="G1891" s="2808"/>
      <c r="H1891" s="478" t="s">
        <v>3601</v>
      </c>
      <c r="I1891" s="2695" t="str">
        <f>'Part I-Project Information'!$H$100</f>
        <v>Rural</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4869</v>
      </c>
      <c r="B1892" s="2662"/>
      <c r="C1892" s="2662"/>
      <c r="D1892" s="2662"/>
      <c r="E1892" s="2662"/>
      <c r="F1892" s="2662"/>
      <c r="G1892" s="2662"/>
      <c r="H1892" s="2662"/>
      <c r="I1892" s="2687" t="s">
        <v>4193</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Waynesborough Academy 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3780</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90">
      <c r="A1896" s="2662" t="str">
        <f>'Part IX A-Scoring Criteria'!A342</f>
        <v>Waynesborough Academy II has not selected the priority point within their scoring tab.</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4148</v>
      </c>
      <c r="B1900" s="2750" t="s">
        <v>1685</v>
      </c>
      <c r="C1900" s="2748"/>
      <c r="D1900" s="2620"/>
      <c r="E1900" s="2620"/>
      <c r="F1900" s="2748"/>
      <c r="G1900" s="478"/>
      <c r="H1900" s="478"/>
      <c r="I1900" s="478"/>
      <c r="J1900" s="2748"/>
      <c r="K1900" s="2660"/>
      <c r="L1900" s="2711"/>
      <c r="M1900" s="2563">
        <v>2</v>
      </c>
      <c r="N1900" s="2809"/>
      <c r="O1900" s="2747">
        <f>'Part IX A-Scoring Criteria'!O346</f>
        <v>1</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3640</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1</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4098</v>
      </c>
      <c r="C1902" s="2748"/>
      <c r="D1902" s="2766"/>
      <c r="E1902" s="2620"/>
      <c r="F1902" s="478"/>
      <c r="G1902" s="478"/>
      <c r="H1902" s="478" t="str">
        <f>'Part IX A-Scoring Criteria'!H348</f>
        <v>Cartersville</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4095</v>
      </c>
      <c r="D1903" s="478"/>
      <c r="E1903" s="478"/>
      <c r="F1903" s="478"/>
      <c r="G1903" s="478"/>
      <c r="H1903" s="478"/>
      <c r="I1903" s="478"/>
      <c r="J1903" s="478"/>
      <c r="K1903" s="478"/>
      <c r="L1903" s="478"/>
      <c r="M1903" s="478"/>
      <c r="N1903" s="2817" t="s">
        <v>2002</v>
      </c>
      <c r="O1903" s="2668" t="str">
        <f>'Part IX A-Scoring Criteria'!O349</f>
        <v>Yes</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4096</v>
      </c>
      <c r="D1904" s="478"/>
      <c r="E1904" s="478"/>
      <c r="F1904" s="478"/>
      <c r="G1904" s="478"/>
      <c r="H1904" s="478"/>
      <c r="I1904" s="478"/>
      <c r="J1904" s="478"/>
      <c r="K1904" s="478"/>
      <c r="L1904" s="478"/>
      <c r="M1904" s="478"/>
      <c r="N1904" s="2817" t="s">
        <v>2004</v>
      </c>
      <c r="O1904" s="2668" t="str">
        <f>'Part IX A-Scoring Criteria'!O350</f>
        <v>Yes</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4097</v>
      </c>
      <c r="D1905" s="478"/>
      <c r="E1905" s="478"/>
      <c r="F1905" s="478"/>
      <c r="G1905" s="478"/>
      <c r="H1905" s="478"/>
      <c r="I1905" s="478"/>
      <c r="J1905" s="478"/>
      <c r="K1905" s="478"/>
      <c r="L1905" s="478"/>
      <c r="M1905" s="478"/>
      <c r="N1905" s="2817" t="s">
        <v>2551</v>
      </c>
      <c r="O1905" s="2668" t="str">
        <f>'Part IX A-Scoring Criteria'!O351</f>
        <v>Yes</v>
      </c>
      <c r="P1905" s="2668">
        <f>'Part IX A-Scoring Criteria'!P351</f>
        <v>0</v>
      </c>
      <c r="Q1905" s="478"/>
      <c r="R1905" s="478"/>
      <c r="S1905" s="478"/>
      <c r="T1905" s="478"/>
      <c r="U1905" s="478"/>
      <c r="V1905" s="478"/>
      <c r="W1905" s="478"/>
      <c r="X1905" s="478"/>
      <c r="Y1905" s="478"/>
      <c r="Z1905" s="478"/>
    </row>
    <row r="1906" spans="1:26">
      <c r="A1906" s="1156"/>
      <c r="B1906" s="2771" t="s">
        <v>3641</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2815</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2816</v>
      </c>
      <c r="C1909" s="2355"/>
      <c r="D1909" s="2355"/>
      <c r="E1909" s="2355"/>
      <c r="F1909" s="2355"/>
      <c r="G1909" s="2355"/>
      <c r="H1909" s="2355"/>
      <c r="I1909" s="2355"/>
      <c r="J1909" s="2355"/>
      <c r="K1909" s="2355"/>
      <c r="L1909" s="2355"/>
      <c r="M1909" s="2355"/>
      <c r="N1909" s="2355"/>
      <c r="O1909" s="2668" t="str">
        <f>'Part IX A-Scoring Criteria'!O355</f>
        <v>N/a</v>
      </c>
      <c r="P1909" s="2668">
        <f>'Part IX A-Scoring Criteria'!P355</f>
        <v>0</v>
      </c>
      <c r="Q1909" s="2357"/>
      <c r="R1909" s="2355"/>
      <c r="S1909" s="2355"/>
      <c r="T1909" s="2355"/>
      <c r="U1909" s="2355"/>
      <c r="V1909" s="2355"/>
      <c r="W1909" s="2355"/>
      <c r="X1909" s="2355"/>
      <c r="Y1909" s="2355"/>
      <c r="Z1909" s="2355"/>
    </row>
    <row r="1910" spans="1:26">
      <c r="A1910" s="2701"/>
      <c r="B1910" s="478" t="s">
        <v>3643</v>
      </c>
      <c r="C1910" s="478" t="str">
        <f>'Part I-Project Information'!$F$38</f>
        <v>Cartersville</v>
      </c>
      <c r="D1910" s="2355"/>
      <c r="E1910" s="478" t="s">
        <v>3508</v>
      </c>
      <c r="F1910" s="478" t="str">
        <f>'Part I-Project Information'!$J$39</f>
        <v>Bartow</v>
      </c>
      <c r="G1910" s="2355"/>
      <c r="H1910" s="2598" t="s">
        <v>455</v>
      </c>
      <c r="I1910" s="2598" t="str">
        <f>'Part I-Project Information'!$N$39</f>
        <v>No</v>
      </c>
      <c r="J1910" s="2355"/>
      <c r="K1910" s="2598" t="s">
        <v>3642</v>
      </c>
      <c r="L1910" s="2846" t="str">
        <f>'Part I-Project Information'!$O$38</f>
        <v>9607</v>
      </c>
      <c r="M1910" s="2846"/>
      <c r="N1910" s="2846"/>
      <c r="O1910" s="2846"/>
      <c r="P1910" s="2846"/>
      <c r="Q1910" s="2355"/>
      <c r="R1910" s="2355"/>
      <c r="S1910" s="2355"/>
      <c r="T1910" s="2355"/>
      <c r="U1910" s="2355"/>
      <c r="V1910" s="2355"/>
      <c r="W1910" s="2355"/>
      <c r="X1910" s="2355"/>
      <c r="Y1910" s="2355"/>
      <c r="Z1910" s="2355"/>
    </row>
    <row r="1911" spans="1:26" ht="15">
      <c r="A1911" s="2355"/>
      <c r="B1911" s="2767" t="s">
        <v>3780</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57.5">
      <c r="A1912" s="2662" t="str">
        <f>'Part IX A-Scoring Criteria'!A358</f>
        <v>The City of Cartersville has authorized one letter to be written for a project in the 2018 LIHTC Round.  They have chosen Peaks of Cartersville.</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4149</v>
      </c>
      <c r="B1916" s="2750" t="s">
        <v>4101</v>
      </c>
      <c r="C1916" s="2748"/>
      <c r="D1916" s="2620"/>
      <c r="E1916" s="2620"/>
      <c r="F1916" s="478"/>
      <c r="G1916" s="478"/>
      <c r="H1916" s="2570" t="s">
        <v>2812</v>
      </c>
      <c r="I1916" s="2748"/>
      <c r="J1916" s="2570" t="str">
        <f>'Part I-Project Information'!$H$100</f>
        <v>Rural</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3836</v>
      </c>
      <c r="D1919" s="1156"/>
      <c r="E1919" s="1156"/>
      <c r="F1919" s="1156"/>
      <c r="G1919" s="1156"/>
      <c r="H1919" s="1156"/>
      <c r="I1919" s="1156"/>
      <c r="J1919" s="1156"/>
      <c r="K1919" s="1156"/>
      <c r="L1919" s="2737"/>
      <c r="M1919" s="2737"/>
      <c r="N1919" s="2713" t="s">
        <v>2452</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3835</v>
      </c>
      <c r="D1920" s="1156"/>
      <c r="E1920" s="1156"/>
      <c r="F1920" s="1156"/>
      <c r="G1920" s="1156"/>
      <c r="H1920" s="1156"/>
      <c r="I1920" s="1156"/>
      <c r="J1920" s="1156"/>
      <c r="K1920" s="1156"/>
      <c r="L1920" s="2737"/>
      <c r="M1920" s="2737"/>
      <c r="N1920" s="2703" t="s">
        <v>2453</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4102</v>
      </c>
      <c r="D1921" s="2627"/>
      <c r="E1921" s="2627"/>
      <c r="F1921" s="2627"/>
      <c r="G1921" s="2627"/>
      <c r="H1921" s="2627"/>
      <c r="I1921" s="2627"/>
      <c r="J1921" s="2627"/>
      <c r="K1921" s="2627"/>
      <c r="L1921" s="2627"/>
      <c r="M1921" s="2627"/>
      <c r="N1921" s="2713" t="s">
        <v>2454</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4103</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2724</v>
      </c>
    </row>
    <row r="1924" spans="1:26" ht="12.75" customHeight="1">
      <c r="A1924" s="2878"/>
      <c r="B1924" s="2800" t="s">
        <v>2002</v>
      </c>
      <c r="C1924" s="2662" t="s">
        <v>4104</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3647</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2749</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3645</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4546</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3646</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3648</v>
      </c>
      <c r="C1934" s="478" t="s">
        <v>4186</v>
      </c>
      <c r="I1934" s="2703" t="s">
        <v>3648</v>
      </c>
      <c r="J1934" s="2615">
        <f>'Part IX A-Scoring Criteria'!J380</f>
        <v>0</v>
      </c>
      <c r="K1934" s="2615">
        <f>'Part IX A-Scoring Criteria'!K380</f>
        <v>0</v>
      </c>
      <c r="L1934" s="2703" t="s">
        <v>3648</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4870</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13449266.200550128</v>
      </c>
      <c r="K1937" s="2615"/>
      <c r="M1937" s="2348"/>
      <c r="N1937" s="2348"/>
      <c r="P1937" s="2348"/>
    </row>
    <row r="1938" spans="1:26" ht="12.75" customHeight="1">
      <c r="A1938" s="2653" t="s">
        <v>4871</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4296</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3649</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4105</v>
      </c>
      <c r="D1942" s="2662"/>
      <c r="E1942" s="2662"/>
      <c r="F1942" s="2662"/>
      <c r="G1942" s="2662"/>
      <c r="H1942" s="2662"/>
      <c r="I1942" s="2662"/>
      <c r="J1942" s="2662"/>
      <c r="K1942" s="2662"/>
      <c r="L1942" s="2662"/>
      <c r="M1942" s="2662"/>
      <c r="N1942" s="2713" t="s">
        <v>2451</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3828</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4106</v>
      </c>
      <c r="N1944" s="2703" t="s">
        <v>2453</v>
      </c>
      <c r="O1944" s="2668">
        <f>'Part IX A-Scoring Criteria'!O390</f>
        <v>0</v>
      </c>
      <c r="P1944" s="2668">
        <f>'Part IX A-Scoring Criteria'!P390</f>
        <v>0</v>
      </c>
    </row>
    <row r="1945" spans="1:26">
      <c r="B1945" s="2767" t="s">
        <v>3780</v>
      </c>
      <c r="N1945" s="2550"/>
      <c r="O1945" s="2552"/>
      <c r="P1945" s="2552"/>
    </row>
    <row r="1946" spans="1:26" ht="45">
      <c r="A1946" s="2662" t="str">
        <f>'Part IX A-Scoring Criteria'!A392</f>
        <v>No points were selected in this section.</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4147</v>
      </c>
      <c r="B1950" s="2748"/>
      <c r="C1950" s="2750" t="s">
        <v>2737</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3675</v>
      </c>
      <c r="C1951" s="2748"/>
      <c r="D1951" s="2355"/>
      <c r="E1951" s="2355"/>
      <c r="F1951" s="2355"/>
      <c r="G1951" s="2748"/>
      <c r="H1951" s="2748"/>
      <c r="I1951" s="2748"/>
      <c r="J1951" s="2598" t="s">
        <v>3839</v>
      </c>
      <c r="K1951" s="2748"/>
      <c r="L1951" s="2635">
        <f>'Part VI-Revenues &amp; Expenses'!$O$62*0.1</f>
        <v>7.2</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3838</v>
      </c>
      <c r="D1952" s="2662"/>
      <c r="E1952" s="2662"/>
      <c r="F1952" s="2662"/>
      <c r="G1952" s="2662"/>
      <c r="H1952" s="2662"/>
      <c r="I1952" s="2662"/>
      <c r="J1952" s="2598" t="s">
        <v>3841</v>
      </c>
      <c r="K1952" s="2748"/>
      <c r="L1952" s="2635">
        <f>'Part VI-Revenues &amp; Expenses'!$O$58</f>
        <v>62</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3842</v>
      </c>
      <c r="K1953" s="2799"/>
      <c r="L1953" s="2635">
        <f>L1952*0.1</f>
        <v>6.2</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3843</v>
      </c>
      <c r="K1954" s="2799"/>
      <c r="L1954" s="2635">
        <f>'Part VI-Revenues &amp; Expenses'!$K$58</f>
        <v>26</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3840</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3837</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3860</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3680</v>
      </c>
      <c r="D1961" s="2665"/>
      <c r="E1961" s="2665"/>
      <c r="F1961" s="2665"/>
      <c r="G1961" s="2433">
        <f>'Part IX A-Scoring Criteria'!G407</f>
        <v>0</v>
      </c>
      <c r="H1961" s="2433">
        <f>'Part IX A-Scoring Criteria'!H407</f>
        <v>0</v>
      </c>
      <c r="I1961" s="2433">
        <f>'Part IX A-Scoring Criteria'!I407</f>
        <v>0</v>
      </c>
      <c r="J1961" s="2883" t="s">
        <v>3681</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3679</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3780</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101.25">
      <c r="A1964" s="2662" t="str">
        <f>'Part IX A-Scoring Criteria'!A410</f>
        <v xml:space="preserve">The applicant agrees to accept up to seven Section 811 PBRA or other DCA RA units.  </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4150</v>
      </c>
      <c r="B1968" s="2750" t="s">
        <v>2739</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4872</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4244</v>
      </c>
      <c r="C1973" s="2627"/>
      <c r="D1973" s="2627"/>
      <c r="E1973" s="2627"/>
      <c r="F1973" s="2627"/>
      <c r="G1973" s="2627"/>
      <c r="H1973" s="2627"/>
      <c r="I1973" s="2627"/>
      <c r="J1973" s="2627"/>
      <c r="K1973" s="2627"/>
      <c r="L1973" s="2627"/>
      <c r="M1973" s="2662" t="s">
        <v>4873</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72</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4874</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4245</v>
      </c>
      <c r="C1980" s="2662"/>
      <c r="D1980" s="2662"/>
      <c r="E1980" s="2662"/>
      <c r="F1980" s="2662"/>
      <c r="G1980" s="2662"/>
      <c r="H1980" s="2662"/>
      <c r="I1980" s="2662"/>
      <c r="J1980" s="2662"/>
      <c r="K1980" s="2662"/>
      <c r="L1980" s="2662"/>
      <c r="M1980" s="2722" t="s">
        <v>2848</v>
      </c>
      <c r="N1980" s="2801"/>
      <c r="O1980" s="2887">
        <f>'Part VI-Revenues &amp; Expenses'!$O$62</f>
        <v>72</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3780</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45">
      <c r="A1983" s="2662" t="str">
        <f>'Part IX A-Scoring Criteria'!A429</f>
        <v>This is not  a Historic Preservation Project.</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4151</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3683</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3684</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3685</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54</v>
      </c>
      <c r="P1995" s="2892">
        <f>P1562+P1597+P1611+P1621+P1648+P1665+P1707+P1743+P1782+P1824+P1840+P1848+P1870+P1878+P1891+P1900+P1916+P1950+P1968+P1987</f>
        <v>20</v>
      </c>
      <c r="Q1995" s="2355"/>
      <c r="R1995" s="2603">
        <f>'Part IX A-Scoring Criteria'!O441</f>
        <v>54</v>
      </c>
      <c r="S1995" s="2355"/>
      <c r="T1995" s="2355"/>
      <c r="U1995" s="2355"/>
      <c r="V1995" s="2355"/>
      <c r="W1995" s="2355"/>
      <c r="X1995" s="2355"/>
      <c r="Y1995" s="2355"/>
      <c r="Z1995" s="2355"/>
    </row>
    <row r="1996" spans="1:26" ht="15.75">
      <c r="A1996" s="2748"/>
      <c r="B1996" s="2890"/>
      <c r="C1996" s="2748"/>
      <c r="F1996" s="2746"/>
      <c r="G1996" s="2746"/>
      <c r="H1996" s="2570" t="s">
        <v>4239</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4240</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4248</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3715</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The Health and Wellness Screening will be provided to our residents at $15 or less.  Many patients will qualify for free or reduced services and may not be obligated to pay any fees.  The Health Department will process the residents through insurance/medicaid prior to charging the resident any fees.
The UGA Extension office will be providing gardening guidance along with gardening and nutrition classes to the residents as part of the Healthy Eating Program.  We have included an MOU to verify their involvement in this program.</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4253</v>
      </c>
    </row>
    <row r="2010" spans="1:26" ht="16.5">
      <c r="A2010" s="2895" t="str">
        <f>'Part I-Project Information'!$F$34</f>
        <v>Peaks of Cartersville</v>
      </c>
    </row>
    <row r="2011" spans="1:26" ht="16.5">
      <c r="A2011" s="2895" t="str">
        <f>CONCATENATE('Part I-Project Information'!$F$38,", ", 'Part I-Project Information'!$J$39," County")</f>
        <v>Cartersville, Bartow County</v>
      </c>
    </row>
    <row r="2013" spans="1:26" ht="12.75" customHeight="1">
      <c r="A2013" s="2347" t="str">
        <f>'Pt IX B-Healthy Housg Init Narr'!A5</f>
        <v xml:space="preserve">Proposed Health Initiative:  Senior Health
Review of the reports and numerous discussions with the Bartow County Department of Public Health professionals that work within the Cartersville Community led us to determine the best services to provide to the prospective residents of Peaks of Cartersville.
     The following health priorities within the 2016 Wellstar Kennestone Hospital Community Health Needs Assessment ("CHNA") are as follows:
As related to Access to care and healthy lifestyles for Chronic Diseases prevention
• Underuse of Primary Care - Ed Utlization - Care Capacity in Clinics
• Cancer
• Cardiovascular disease
• COPD &amp; Asthma
• Obesity
• Type 2 Diabetes
     Similar items are also listed on the County Health Ranking Report:
Smoking, obesity, physical inactivity, access to exercise opportunities, excessive drinking, alcohol-impaired deaths, sexually transmitted infections, diabetes.
     The Peaks of Cartersville Community is being built as an age restricted Seniors (HFOP) property.  With the needs data results from the CHNA, and County Health Rankings the Senior Health Initiative will efficiently target the Peaks of Cartersville Community.  
     The Wellness Program being brought to the Peaks of Cartersville Community will feature the following health screening and educational classes as identified within the Memorandum of Understanding between Peaks of Cartersville, LP and the Bartow County Health Department:
Screening: High Blood Pressure, Biometric Screenings, Health Risk Assessments, Immunizations, TB Risk Assessment, Diabetes/Blood Sugar Screening, Breast Cancer Screenings
Education:  Women's Health, Adult Health, Nutrition, Diabetes, Cholesterol, Stroke/Heart Attack Prevention
     The relationship with the UGA Extension Office will provide additional support to the Health and Wellness of the Peaks of Cartersville residents by offering supportive services to the establishment of the community gardens and providing education on better health choices.  The classes being offered may consist of:  Gardening Basics/Plantings, Heathy Food Choices, Food Demonstrations, Healthy Holiday Eating, Nutrition Education, Meal Planning, and more.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NRAC/mWtF/dqNOPOcEeQbUPKR/cjYKpcfCX2avE1AnTUyk4KpVqFAF58lKYuoCsH1ZUHwAOnLVAKdosG6JoL/g==" saltValue="0r93cJjiT7ZQSK5WshhHi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2018-035 Peaks of Cartersville, Cartersville, Bartow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4311</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21" t="s">
        <v>4553</v>
      </c>
      <c r="I5" s="3522"/>
      <c r="J5" s="3522"/>
      <c r="K5" s="3522"/>
      <c r="L5" s="3522"/>
      <c r="M5" s="3522"/>
      <c r="N5" s="3523"/>
      <c r="O5" s="1559" t="s">
        <v>2005</v>
      </c>
      <c r="P5" s="1559"/>
      <c r="Q5" s="3521" t="s">
        <v>4556</v>
      </c>
      <c r="R5" s="3522"/>
      <c r="S5" s="3523"/>
      <c r="Y5" s="1163"/>
      <c r="Z5" s="1164"/>
      <c r="AA5" s="1570"/>
    </row>
    <row r="6" spans="1:27" s="305" customFormat="1" ht="11.25" customHeight="1">
      <c r="D6" s="348"/>
      <c r="E6" s="310" t="s">
        <v>1031</v>
      </c>
      <c r="F6" s="318"/>
      <c r="H6" s="3521" t="s">
        <v>4554</v>
      </c>
      <c r="I6" s="3522"/>
      <c r="J6" s="3522"/>
      <c r="K6" s="3522"/>
      <c r="L6" s="3522"/>
      <c r="M6" s="3522"/>
      <c r="N6" s="3523"/>
      <c r="O6" s="1559" t="s">
        <v>1760</v>
      </c>
      <c r="Q6" s="3521" t="s">
        <v>4557</v>
      </c>
      <c r="R6" s="3522"/>
      <c r="S6" s="3523"/>
      <c r="V6" s="1163"/>
      <c r="W6" s="1163"/>
      <c r="X6" s="1163"/>
      <c r="Y6" s="1163"/>
      <c r="Z6" s="1164"/>
      <c r="AA6" s="1570"/>
    </row>
    <row r="7" spans="1:27" s="305" customFormat="1" ht="11.25" customHeight="1">
      <c r="D7" s="348"/>
      <c r="E7" s="310" t="s">
        <v>624</v>
      </c>
      <c r="H7" s="3521" t="s">
        <v>1217</v>
      </c>
      <c r="I7" s="3522"/>
      <c r="J7" s="3523"/>
      <c r="K7" s="3524" t="s">
        <v>770</v>
      </c>
      <c r="L7" s="3521"/>
      <c r="M7" s="3522"/>
      <c r="N7" s="3523"/>
      <c r="O7" s="1559" t="s">
        <v>1734</v>
      </c>
      <c r="Q7" s="3525">
        <v>4043642937</v>
      </c>
      <c r="R7" s="3526"/>
      <c r="S7" s="3527"/>
    </row>
    <row r="8" spans="1:27" s="305" customFormat="1" ht="11.25" customHeight="1">
      <c r="D8" s="348"/>
      <c r="E8" s="310" t="s">
        <v>1812</v>
      </c>
      <c r="H8" s="3528" t="s">
        <v>856</v>
      </c>
      <c r="I8" s="1562" t="s">
        <v>2245</v>
      </c>
      <c r="J8" s="3529">
        <v>303091851</v>
      </c>
      <c r="K8" s="3523"/>
      <c r="L8" s="305" t="s">
        <v>3714</v>
      </c>
      <c r="M8" s="3530" t="s">
        <v>4555</v>
      </c>
      <c r="N8" s="3531"/>
      <c r="O8" s="1559" t="s">
        <v>1995</v>
      </c>
      <c r="Q8" s="3525">
        <v>7702625017</v>
      </c>
      <c r="R8" s="3526"/>
      <c r="S8" s="3527"/>
    </row>
    <row r="9" spans="1:27" s="305" customFormat="1" ht="11.25" customHeight="1">
      <c r="D9" s="348"/>
      <c r="E9" s="310" t="s">
        <v>4312</v>
      </c>
      <c r="H9" s="3525">
        <v>4043642900</v>
      </c>
      <c r="I9" s="3527"/>
      <c r="J9" s="3532"/>
      <c r="K9" s="1571" t="s">
        <v>2000</v>
      </c>
      <c r="L9" s="3533" t="s">
        <v>4558</v>
      </c>
      <c r="M9" s="3534"/>
      <c r="N9" s="3534"/>
      <c r="O9" s="3534"/>
      <c r="P9" s="3534"/>
      <c r="Q9" s="3534"/>
      <c r="R9" s="3534"/>
      <c r="S9" s="3535"/>
    </row>
    <row r="10" spans="1:27" s="305" customFormat="1" ht="11.25" customHeight="1">
      <c r="D10" s="348"/>
      <c r="E10" s="1417" t="s">
        <v>4311</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6" t="s">
        <v>1296</v>
      </c>
      <c r="W12" s="3536"/>
      <c r="X12" s="3536"/>
      <c r="Y12" s="3536"/>
      <c r="Z12" s="3536"/>
    </row>
    <row r="13" spans="1:27" s="305" customFormat="1" ht="11.25" customHeight="1">
      <c r="C13" s="350" t="s">
        <v>2002</v>
      </c>
      <c r="D13" s="347" t="s">
        <v>2003</v>
      </c>
      <c r="H13" s="1570"/>
      <c r="I13" s="1570"/>
      <c r="J13" s="1570"/>
      <c r="N13" s="1165"/>
      <c r="W13" s="3537"/>
      <c r="X13" s="3537"/>
      <c r="Y13" s="3537"/>
      <c r="Z13" s="3537"/>
    </row>
    <row r="14" spans="1:27" s="305" customFormat="1" ht="11.25" customHeight="1">
      <c r="D14" s="307" t="s">
        <v>2132</v>
      </c>
      <c r="E14" s="305" t="s">
        <v>1870</v>
      </c>
      <c r="H14" s="3538" t="s">
        <v>4559</v>
      </c>
      <c r="I14" s="3539"/>
      <c r="J14" s="3539"/>
      <c r="K14" s="3539"/>
      <c r="L14" s="3539"/>
      <c r="M14" s="3539"/>
      <c r="N14" s="3540"/>
      <c r="O14" s="1559" t="s">
        <v>2005</v>
      </c>
      <c r="P14" s="1559"/>
      <c r="Q14" s="3538" t="s">
        <v>4556</v>
      </c>
      <c r="R14" s="3539"/>
      <c r="S14" s="3540"/>
    </row>
    <row r="15" spans="1:27" s="305" customFormat="1" ht="11.25" customHeight="1">
      <c r="D15" s="348"/>
      <c r="E15" s="310" t="s">
        <v>1031</v>
      </c>
      <c r="F15" s="318"/>
      <c r="H15" s="3538" t="s">
        <v>4554</v>
      </c>
      <c r="I15" s="3539"/>
      <c r="J15" s="3539"/>
      <c r="K15" s="3539"/>
      <c r="L15" s="3539"/>
      <c r="M15" s="3539"/>
      <c r="N15" s="3540"/>
      <c r="O15" s="1559" t="s">
        <v>1760</v>
      </c>
      <c r="Q15" s="3538" t="s">
        <v>4560</v>
      </c>
      <c r="R15" s="3539"/>
      <c r="S15" s="3540"/>
    </row>
    <row r="16" spans="1:27" s="305" customFormat="1" ht="11.25" customHeight="1">
      <c r="D16" s="348"/>
      <c r="E16" s="310" t="s">
        <v>624</v>
      </c>
      <c r="H16" s="3538" t="s">
        <v>1217</v>
      </c>
      <c r="I16" s="3539"/>
      <c r="J16" s="3540"/>
      <c r="K16" s="1561" t="s">
        <v>2722</v>
      </c>
      <c r="L16" s="3538"/>
      <c r="M16" s="3539"/>
      <c r="N16" s="3540"/>
      <c r="O16" s="1559" t="s">
        <v>1734</v>
      </c>
      <c r="Q16" s="3541">
        <v>4043642937</v>
      </c>
      <c r="R16" s="3542"/>
      <c r="S16" s="3543"/>
    </row>
    <row r="17" spans="3:19" s="305" customFormat="1" ht="11.25" customHeight="1">
      <c r="D17" s="307"/>
      <c r="E17" s="310" t="s">
        <v>1812</v>
      </c>
      <c r="H17" s="3544" t="s">
        <v>856</v>
      </c>
      <c r="K17" s="1562" t="s">
        <v>2245</v>
      </c>
      <c r="L17" s="3545">
        <v>303091851</v>
      </c>
      <c r="M17" s="3546"/>
      <c r="O17" s="1559" t="s">
        <v>1995</v>
      </c>
      <c r="Q17" s="3541">
        <v>7702625017</v>
      </c>
      <c r="R17" s="3542"/>
      <c r="S17" s="3543"/>
    </row>
    <row r="18" spans="3:19" s="305" customFormat="1" ht="11.25" customHeight="1">
      <c r="D18" s="348"/>
      <c r="E18" s="310" t="s">
        <v>4312</v>
      </c>
      <c r="H18" s="3541">
        <v>4043642900</v>
      </c>
      <c r="I18" s="3543"/>
      <c r="J18" s="3547"/>
      <c r="K18" s="1571" t="s">
        <v>2000</v>
      </c>
      <c r="L18" s="3533" t="s">
        <v>4558</v>
      </c>
      <c r="M18" s="3534"/>
      <c r="N18" s="3534"/>
      <c r="O18" s="3534"/>
      <c r="P18" s="3534"/>
      <c r="Q18" s="3534"/>
      <c r="R18" s="3534"/>
      <c r="S18" s="3535"/>
    </row>
    <row r="19" spans="3:19" ht="4.1500000000000004" customHeight="1">
      <c r="D19" s="333"/>
      <c r="H19" s="3548"/>
      <c r="I19" s="3548"/>
      <c r="J19" s="3548"/>
      <c r="K19" s="1571"/>
      <c r="L19" s="3548"/>
      <c r="M19" s="3548"/>
      <c r="N19" s="1558"/>
      <c r="O19" s="1613"/>
      <c r="P19" s="1613"/>
      <c r="Q19" s="1571"/>
      <c r="R19" s="1613"/>
      <c r="S19" s="1613"/>
    </row>
    <row r="20" spans="3:19" s="305" customFormat="1" ht="11.25" customHeight="1">
      <c r="D20" s="307" t="s">
        <v>2133</v>
      </c>
      <c r="E20" s="305" t="s">
        <v>1871</v>
      </c>
      <c r="F20" s="1570"/>
      <c r="H20" s="3538" t="s">
        <v>4561</v>
      </c>
      <c r="I20" s="3539"/>
      <c r="J20" s="3539"/>
      <c r="K20" s="3539"/>
      <c r="L20" s="3539"/>
      <c r="M20" s="3539"/>
      <c r="N20" s="3540"/>
      <c r="O20" s="1559" t="s">
        <v>2005</v>
      </c>
      <c r="P20" s="1559"/>
      <c r="Q20" s="3538"/>
      <c r="R20" s="3539"/>
      <c r="S20" s="3540"/>
    </row>
    <row r="21" spans="3:19" s="305" customFormat="1" ht="11.25" customHeight="1">
      <c r="D21" s="348"/>
      <c r="E21" s="310" t="s">
        <v>1031</v>
      </c>
      <c r="F21" s="318"/>
      <c r="H21" s="3538"/>
      <c r="I21" s="3539"/>
      <c r="J21" s="3539"/>
      <c r="K21" s="3539"/>
      <c r="L21" s="3539"/>
      <c r="M21" s="3539"/>
      <c r="N21" s="3540"/>
      <c r="O21" s="1559" t="s">
        <v>1760</v>
      </c>
      <c r="Q21" s="3538"/>
      <c r="R21" s="3539"/>
      <c r="S21" s="3540"/>
    </row>
    <row r="22" spans="3:19" s="305" customFormat="1" ht="11.25" customHeight="1">
      <c r="D22" s="348"/>
      <c r="E22" s="310" t="s">
        <v>624</v>
      </c>
      <c r="H22" s="3538"/>
      <c r="I22" s="3539"/>
      <c r="J22" s="3540"/>
      <c r="K22" s="1561" t="s">
        <v>2722</v>
      </c>
      <c r="L22" s="3538"/>
      <c r="M22" s="3539"/>
      <c r="N22" s="3540"/>
      <c r="O22" s="1559" t="s">
        <v>1734</v>
      </c>
      <c r="Q22" s="3541"/>
      <c r="R22" s="3542"/>
      <c r="S22" s="3543"/>
    </row>
    <row r="23" spans="3:19" s="305" customFormat="1" ht="11.25" customHeight="1">
      <c r="E23" s="310" t="s">
        <v>1812</v>
      </c>
      <c r="H23" s="3544"/>
      <c r="K23" s="1562" t="s">
        <v>2245</v>
      </c>
      <c r="L23" s="3545"/>
      <c r="M23" s="3546"/>
      <c r="O23" s="1559" t="s">
        <v>1995</v>
      </c>
      <c r="Q23" s="3541"/>
      <c r="R23" s="3542"/>
      <c r="S23" s="3543"/>
    </row>
    <row r="24" spans="3:19" s="305" customFormat="1" ht="11.25" customHeight="1">
      <c r="D24" s="348"/>
      <c r="E24" s="310" t="s">
        <v>4312</v>
      </c>
      <c r="H24" s="3541"/>
      <c r="I24" s="3543"/>
      <c r="J24" s="3547"/>
      <c r="K24" s="1571" t="s">
        <v>2000</v>
      </c>
      <c r="L24" s="3533"/>
      <c r="M24" s="3534"/>
      <c r="N24" s="3534"/>
      <c r="O24" s="3534"/>
      <c r="P24" s="3534"/>
      <c r="Q24" s="3534"/>
      <c r="R24" s="3534"/>
      <c r="S24" s="3535"/>
    </row>
    <row r="25" spans="3:19" s="305" customFormat="1" ht="4.1500000000000004" customHeight="1">
      <c r="D25" s="348"/>
      <c r="E25" s="1570"/>
      <c r="F25" s="1570"/>
      <c r="G25" s="1559"/>
      <c r="H25" s="3548"/>
      <c r="I25" s="3548"/>
      <c r="J25" s="3548"/>
      <c r="K25" s="1571"/>
      <c r="L25" s="3548"/>
      <c r="M25" s="3548"/>
      <c r="N25" s="1558"/>
      <c r="O25" s="1613"/>
      <c r="P25" s="1613"/>
      <c r="Q25" s="1571"/>
      <c r="R25" s="1613"/>
      <c r="S25" s="1613"/>
    </row>
    <row r="26" spans="3:19" s="305" customFormat="1" ht="11.25" customHeight="1">
      <c r="D26" s="307" t="s">
        <v>1747</v>
      </c>
      <c r="E26" s="305" t="s">
        <v>1871</v>
      </c>
      <c r="F26" s="1570"/>
      <c r="H26" s="3538" t="s">
        <v>4561</v>
      </c>
      <c r="I26" s="3539"/>
      <c r="J26" s="3539"/>
      <c r="K26" s="3539"/>
      <c r="L26" s="3539"/>
      <c r="M26" s="3539"/>
      <c r="N26" s="3540"/>
      <c r="O26" s="1559" t="s">
        <v>2005</v>
      </c>
      <c r="P26" s="1559"/>
      <c r="Q26" s="3538"/>
      <c r="R26" s="3539"/>
      <c r="S26" s="3540"/>
    </row>
    <row r="27" spans="3:19" s="305" customFormat="1" ht="11.25" customHeight="1">
      <c r="D27" s="348"/>
      <c r="E27" s="310" t="s">
        <v>1031</v>
      </c>
      <c r="F27" s="318"/>
      <c r="H27" s="3538"/>
      <c r="I27" s="3539"/>
      <c r="J27" s="3539"/>
      <c r="K27" s="3539"/>
      <c r="L27" s="3539"/>
      <c r="M27" s="3539"/>
      <c r="N27" s="3540"/>
      <c r="O27" s="1559" t="s">
        <v>1760</v>
      </c>
      <c r="Q27" s="3538"/>
      <c r="R27" s="3539"/>
      <c r="S27" s="3540"/>
    </row>
    <row r="28" spans="3:19" s="305" customFormat="1" ht="11.25" customHeight="1">
      <c r="D28" s="348"/>
      <c r="E28" s="310" t="s">
        <v>624</v>
      </c>
      <c r="H28" s="3538"/>
      <c r="I28" s="3539"/>
      <c r="J28" s="3540"/>
      <c r="K28" s="1561" t="s">
        <v>2722</v>
      </c>
      <c r="L28" s="3538"/>
      <c r="M28" s="3539"/>
      <c r="N28" s="3540"/>
      <c r="O28" s="1559" t="s">
        <v>1734</v>
      </c>
      <c r="Q28" s="3541"/>
      <c r="R28" s="3542"/>
      <c r="S28" s="3543"/>
    </row>
    <row r="29" spans="3:19" s="305" customFormat="1" ht="11.25" customHeight="1">
      <c r="E29" s="310" t="s">
        <v>1812</v>
      </c>
      <c r="H29" s="3544"/>
      <c r="K29" s="1562" t="s">
        <v>2245</v>
      </c>
      <c r="L29" s="3545"/>
      <c r="M29" s="3546"/>
      <c r="O29" s="1559" t="s">
        <v>1995</v>
      </c>
      <c r="Q29" s="3541"/>
      <c r="R29" s="3542"/>
      <c r="S29" s="3543"/>
    </row>
    <row r="30" spans="3:19" s="305" customFormat="1" ht="11.25" customHeight="1">
      <c r="D30" s="348"/>
      <c r="E30" s="310" t="s">
        <v>4312</v>
      </c>
      <c r="H30" s="3541"/>
      <c r="I30" s="3543"/>
      <c r="J30" s="3547"/>
      <c r="K30" s="1571" t="s">
        <v>2000</v>
      </c>
      <c r="L30" s="3533"/>
      <c r="M30" s="3534"/>
      <c r="N30" s="3534"/>
      <c r="O30" s="3534"/>
      <c r="P30" s="3534"/>
      <c r="Q30" s="3534"/>
      <c r="R30" s="3534"/>
      <c r="S30" s="3535"/>
    </row>
    <row r="31" spans="3:19" ht="4.1500000000000004" customHeight="1"/>
    <row r="32" spans="3:19" s="305" customFormat="1" ht="11.25" customHeight="1">
      <c r="C32" s="350" t="s">
        <v>2004</v>
      </c>
      <c r="D32" s="347" t="s">
        <v>1873</v>
      </c>
      <c r="H32" s="1570"/>
      <c r="I32" s="1570"/>
      <c r="J32" s="1570"/>
      <c r="K32" s="1417" t="s">
        <v>4311</v>
      </c>
      <c r="L32" s="1570"/>
      <c r="M32" s="1570"/>
    </row>
    <row r="33" spans="3:19" s="305" customFormat="1" ht="11.25" customHeight="1">
      <c r="D33" s="307" t="s">
        <v>2132</v>
      </c>
      <c r="E33" s="305" t="s">
        <v>758</v>
      </c>
      <c r="H33" s="3538" t="s">
        <v>4562</v>
      </c>
      <c r="I33" s="3539"/>
      <c r="J33" s="3539"/>
      <c r="K33" s="3539"/>
      <c r="L33" s="3539"/>
      <c r="M33" s="3539"/>
      <c r="N33" s="3540"/>
      <c r="O33" s="1559" t="s">
        <v>2005</v>
      </c>
      <c r="P33" s="1559"/>
      <c r="Q33" s="3538" t="s">
        <v>4566</v>
      </c>
      <c r="R33" s="3539"/>
      <c r="S33" s="3540"/>
    </row>
    <row r="34" spans="3:19" s="305" customFormat="1" ht="11.25" customHeight="1">
      <c r="D34" s="348"/>
      <c r="E34" s="310" t="s">
        <v>1031</v>
      </c>
      <c r="F34" s="318"/>
      <c r="H34" s="3538" t="s">
        <v>4563</v>
      </c>
      <c r="I34" s="3539"/>
      <c r="J34" s="3539"/>
      <c r="K34" s="3539"/>
      <c r="L34" s="3539"/>
      <c r="M34" s="3539"/>
      <c r="N34" s="3540"/>
      <c r="O34" s="1559" t="s">
        <v>1760</v>
      </c>
      <c r="Q34" s="3538" t="s">
        <v>4567</v>
      </c>
      <c r="R34" s="3539"/>
      <c r="S34" s="3540"/>
    </row>
    <row r="35" spans="3:19" s="305" customFormat="1" ht="11.25" customHeight="1">
      <c r="D35" s="348"/>
      <c r="E35" s="310" t="s">
        <v>624</v>
      </c>
      <c r="H35" s="3538" t="s">
        <v>2545</v>
      </c>
      <c r="I35" s="3539"/>
      <c r="J35" s="3540"/>
      <c r="K35" s="1561" t="s">
        <v>2722</v>
      </c>
      <c r="L35" s="3538" t="s">
        <v>4564</v>
      </c>
      <c r="M35" s="3539"/>
      <c r="N35" s="3540"/>
      <c r="O35" s="1559" t="s">
        <v>1734</v>
      </c>
      <c r="Q35" s="3541"/>
      <c r="R35" s="3542"/>
      <c r="S35" s="3543"/>
    </row>
    <row r="36" spans="3:19" s="305" customFormat="1" ht="11.25" customHeight="1">
      <c r="E36" s="310" t="s">
        <v>1812</v>
      </c>
      <c r="H36" s="3544" t="s">
        <v>1353</v>
      </c>
      <c r="K36" s="1562" t="s">
        <v>2245</v>
      </c>
      <c r="L36" s="3545">
        <v>652034905</v>
      </c>
      <c r="M36" s="3546"/>
      <c r="O36" s="1559" t="s">
        <v>1995</v>
      </c>
      <c r="Q36" s="3541">
        <v>5734248811</v>
      </c>
      <c r="R36" s="3542"/>
      <c r="S36" s="3543"/>
    </row>
    <row r="37" spans="3:19" s="305" customFormat="1" ht="11.25" customHeight="1">
      <c r="D37" s="348"/>
      <c r="E37" s="310" t="s">
        <v>4312</v>
      </c>
      <c r="H37" s="3541">
        <v>5734432021</v>
      </c>
      <c r="I37" s="3543"/>
      <c r="J37" s="3547"/>
      <c r="K37" s="1571" t="s">
        <v>2000</v>
      </c>
      <c r="L37" s="3533" t="s">
        <v>4565</v>
      </c>
      <c r="M37" s="3534"/>
      <c r="N37" s="3534"/>
      <c r="O37" s="3534"/>
      <c r="P37" s="3534"/>
      <c r="Q37" s="3534"/>
      <c r="R37" s="3534"/>
      <c r="S37" s="3535"/>
    </row>
    <row r="38" spans="3:19" ht="4.1500000000000004" customHeight="1">
      <c r="H38" s="3548"/>
      <c r="I38" s="3548"/>
      <c r="J38" s="3548"/>
      <c r="K38" s="1571"/>
      <c r="L38" s="3548"/>
      <c r="M38" s="3548"/>
      <c r="N38" s="1558"/>
      <c r="O38" s="1613"/>
      <c r="P38" s="1613"/>
      <c r="Q38" s="1571"/>
      <c r="R38" s="1613"/>
      <c r="S38" s="1613"/>
    </row>
    <row r="39" spans="3:19" s="305" customFormat="1" ht="11.25" customHeight="1">
      <c r="D39" s="307" t="s">
        <v>2133</v>
      </c>
      <c r="E39" s="305" t="s">
        <v>759</v>
      </c>
      <c r="F39" s="307"/>
      <c r="H39" s="3538" t="s">
        <v>4562</v>
      </c>
      <c r="I39" s="3539"/>
      <c r="J39" s="3539"/>
      <c r="K39" s="3539"/>
      <c r="L39" s="3539"/>
      <c r="M39" s="3539"/>
      <c r="N39" s="3540"/>
      <c r="O39" s="1559" t="s">
        <v>2005</v>
      </c>
      <c r="P39" s="1559"/>
      <c r="Q39" s="3538" t="s">
        <v>4568</v>
      </c>
      <c r="R39" s="3539"/>
      <c r="S39" s="3540"/>
    </row>
    <row r="40" spans="3:19" s="305" customFormat="1" ht="11.25" customHeight="1">
      <c r="D40" s="348"/>
      <c r="E40" s="310" t="s">
        <v>1031</v>
      </c>
      <c r="F40" s="318"/>
      <c r="H40" s="3538" t="s">
        <v>4563</v>
      </c>
      <c r="I40" s="3539"/>
      <c r="J40" s="3539"/>
      <c r="K40" s="3539"/>
      <c r="L40" s="3539"/>
      <c r="M40" s="3539"/>
      <c r="N40" s="3540"/>
      <c r="O40" s="1559" t="s">
        <v>1760</v>
      </c>
      <c r="Q40" s="3538" t="s">
        <v>4567</v>
      </c>
      <c r="R40" s="3539"/>
      <c r="S40" s="3540"/>
    </row>
    <row r="41" spans="3:19" s="305" customFormat="1" ht="11.25" customHeight="1">
      <c r="D41" s="348"/>
      <c r="E41" s="310" t="s">
        <v>624</v>
      </c>
      <c r="H41" s="3538" t="s">
        <v>2545</v>
      </c>
      <c r="I41" s="3539"/>
      <c r="J41" s="3540"/>
      <c r="K41" s="1561" t="s">
        <v>2722</v>
      </c>
      <c r="L41" s="3538" t="s">
        <v>4564</v>
      </c>
      <c r="M41" s="3539"/>
      <c r="N41" s="3540"/>
      <c r="O41" s="1559" t="s">
        <v>1734</v>
      </c>
      <c r="Q41" s="3541"/>
      <c r="R41" s="3542"/>
      <c r="S41" s="3543"/>
    </row>
    <row r="42" spans="3:19" s="305" customFormat="1" ht="11.25" customHeight="1">
      <c r="D42" s="307"/>
      <c r="E42" s="310" t="s">
        <v>1812</v>
      </c>
      <c r="H42" s="3544" t="s">
        <v>1353</v>
      </c>
      <c r="K42" s="1562" t="s">
        <v>2245</v>
      </c>
      <c r="L42" s="3545">
        <v>652034905</v>
      </c>
      <c r="M42" s="3546"/>
      <c r="O42" s="1559" t="s">
        <v>1995</v>
      </c>
      <c r="Q42" s="3541">
        <v>5734248811</v>
      </c>
      <c r="R42" s="3542"/>
      <c r="S42" s="3543"/>
    </row>
    <row r="43" spans="3:19" s="305" customFormat="1" ht="11.25" customHeight="1">
      <c r="D43" s="348"/>
      <c r="E43" s="310" t="s">
        <v>4312</v>
      </c>
      <c r="H43" s="3541">
        <v>5734432021</v>
      </c>
      <c r="I43" s="3543"/>
      <c r="J43" s="3547"/>
      <c r="K43" s="1571" t="s">
        <v>2000</v>
      </c>
      <c r="L43" s="3533" t="s">
        <v>4565</v>
      </c>
      <c r="M43" s="3534"/>
      <c r="N43" s="3534"/>
      <c r="O43" s="3534"/>
      <c r="P43" s="3534"/>
      <c r="Q43" s="3534"/>
      <c r="R43" s="3534"/>
      <c r="S43" s="3535"/>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4311</v>
      </c>
      <c r="L45" s="1570"/>
      <c r="M45" s="1570"/>
    </row>
    <row r="46" spans="3:19" s="305" customFormat="1" ht="11.25" customHeight="1">
      <c r="E46" s="305" t="s">
        <v>93</v>
      </c>
      <c r="H46" s="3538" t="s">
        <v>4569</v>
      </c>
      <c r="I46" s="3539"/>
      <c r="J46" s="3539"/>
      <c r="K46" s="3539"/>
      <c r="L46" s="3539"/>
      <c r="M46" s="3539"/>
      <c r="N46" s="3540"/>
      <c r="O46" s="1559" t="s">
        <v>2005</v>
      </c>
      <c r="P46" s="1559"/>
      <c r="Q46" s="3538" t="s">
        <v>4556</v>
      </c>
      <c r="R46" s="3539"/>
      <c r="S46" s="3540"/>
    </row>
    <row r="47" spans="3:19" s="305" customFormat="1" ht="11.25" customHeight="1">
      <c r="D47" s="348"/>
      <c r="E47" s="310" t="s">
        <v>1031</v>
      </c>
      <c r="F47" s="318"/>
      <c r="H47" s="3538" t="s">
        <v>4554</v>
      </c>
      <c r="I47" s="3539"/>
      <c r="J47" s="3539"/>
      <c r="K47" s="3539"/>
      <c r="L47" s="3539"/>
      <c r="M47" s="3539"/>
      <c r="N47" s="3540"/>
      <c r="O47" s="1559" t="s">
        <v>1760</v>
      </c>
      <c r="Q47" s="3538" t="s">
        <v>4570</v>
      </c>
      <c r="R47" s="3539"/>
      <c r="S47" s="3540"/>
    </row>
    <row r="48" spans="3:19" s="305" customFormat="1" ht="11.25" customHeight="1">
      <c r="D48" s="348"/>
      <c r="E48" s="310" t="s">
        <v>624</v>
      </c>
      <c r="H48" s="3538" t="s">
        <v>2545</v>
      </c>
      <c r="I48" s="3539"/>
      <c r="J48" s="3540"/>
      <c r="K48" s="1561" t="s">
        <v>2722</v>
      </c>
      <c r="L48" s="3538" t="s">
        <v>4728</v>
      </c>
      <c r="M48" s="3539"/>
      <c r="N48" s="3540"/>
      <c r="O48" s="1559" t="s">
        <v>1734</v>
      </c>
      <c r="Q48" s="3541">
        <v>4043642937</v>
      </c>
      <c r="R48" s="3542"/>
      <c r="S48" s="3543"/>
    </row>
    <row r="49" spans="1:19" s="305" customFormat="1" ht="11.25" customHeight="1">
      <c r="E49" s="310" t="s">
        <v>1812</v>
      </c>
      <c r="H49" s="3544" t="s">
        <v>1353</v>
      </c>
      <c r="K49" s="1562" t="s">
        <v>2245</v>
      </c>
      <c r="L49" s="3545">
        <v>303091851</v>
      </c>
      <c r="M49" s="3546"/>
      <c r="O49" s="1559" t="s">
        <v>1995</v>
      </c>
      <c r="Q49" s="3541">
        <v>7702625017</v>
      </c>
      <c r="R49" s="3542"/>
      <c r="S49" s="3543"/>
    </row>
    <row r="50" spans="1:19" s="305" customFormat="1" ht="11.25" customHeight="1">
      <c r="D50" s="348"/>
      <c r="E50" s="310" t="s">
        <v>4312</v>
      </c>
      <c r="H50" s="3541">
        <v>4043642900</v>
      </c>
      <c r="I50" s="3543"/>
      <c r="J50" s="3547"/>
      <c r="K50" s="1571" t="s">
        <v>2000</v>
      </c>
      <c r="L50" s="3533" t="s">
        <v>4558</v>
      </c>
      <c r="M50" s="3534"/>
      <c r="N50" s="3534"/>
      <c r="O50" s="3534"/>
      <c r="P50" s="3534"/>
      <c r="Q50" s="3534"/>
      <c r="R50" s="3534"/>
      <c r="S50" s="3535"/>
    </row>
    <row r="51" spans="1:19" ht="6.75" customHeight="1"/>
    <row r="52" spans="1:19" s="305" customFormat="1" ht="13.15" customHeight="1">
      <c r="A52" s="307" t="s">
        <v>748</v>
      </c>
      <c r="B52" s="307" t="s">
        <v>658</v>
      </c>
      <c r="F52" s="307"/>
      <c r="G52" s="1571"/>
      <c r="H52" s="1571"/>
      <c r="I52" s="1571"/>
      <c r="J52" s="1570"/>
      <c r="K52" s="1417" t="s">
        <v>4311</v>
      </c>
      <c r="L52" s="1570"/>
      <c r="M52" s="1570"/>
      <c r="N52" s="1570"/>
      <c r="O52" s="1570"/>
      <c r="P52" s="1570"/>
      <c r="Q52" s="1570"/>
      <c r="R52" s="1570"/>
      <c r="S52" s="1570"/>
    </row>
    <row r="53" spans="1:19" s="305" customFormat="1" ht="3" customHeight="1">
      <c r="A53" s="307"/>
      <c r="B53" s="307"/>
      <c r="F53" s="307"/>
      <c r="G53" s="1571"/>
      <c r="H53" s="3549"/>
      <c r="I53" s="3549"/>
      <c r="J53" s="3549"/>
      <c r="K53" s="1558"/>
      <c r="L53" s="3549"/>
      <c r="M53" s="3549"/>
      <c r="N53" s="1558"/>
      <c r="O53" s="1613"/>
      <c r="P53" s="1613"/>
      <c r="Q53" s="1571"/>
      <c r="R53" s="1613"/>
      <c r="S53" s="1613"/>
    </row>
    <row r="54" spans="1:19" s="305" customFormat="1" ht="11.25" customHeight="1">
      <c r="B54" s="307" t="s">
        <v>1999</v>
      </c>
      <c r="C54" s="307" t="s">
        <v>284</v>
      </c>
      <c r="H54" s="3538" t="s">
        <v>4571</v>
      </c>
      <c r="I54" s="3539"/>
      <c r="J54" s="3539"/>
      <c r="K54" s="3539"/>
      <c r="L54" s="3539"/>
      <c r="M54" s="3539"/>
      <c r="N54" s="3540"/>
      <c r="O54" s="1559" t="s">
        <v>2005</v>
      </c>
      <c r="P54" s="1559"/>
      <c r="Q54" s="3538" t="s">
        <v>4556</v>
      </c>
      <c r="R54" s="3539"/>
      <c r="S54" s="3540"/>
    </row>
    <row r="55" spans="1:19" s="305" customFormat="1" ht="11.25" customHeight="1">
      <c r="D55" s="348"/>
      <c r="E55" s="310" t="s">
        <v>1031</v>
      </c>
      <c r="F55" s="318"/>
      <c r="H55" s="3538" t="s">
        <v>4554</v>
      </c>
      <c r="I55" s="3539"/>
      <c r="J55" s="3539"/>
      <c r="K55" s="3539"/>
      <c r="L55" s="3539"/>
      <c r="M55" s="3539"/>
      <c r="N55" s="3540"/>
      <c r="O55" s="1559" t="s">
        <v>1760</v>
      </c>
      <c r="Q55" s="3538" t="s">
        <v>4560</v>
      </c>
      <c r="R55" s="3539"/>
      <c r="S55" s="3540"/>
    </row>
    <row r="56" spans="1:19" s="305" customFormat="1" ht="11.25" customHeight="1">
      <c r="D56" s="348"/>
      <c r="E56" s="310" t="s">
        <v>624</v>
      </c>
      <c r="H56" s="3538" t="s">
        <v>1217</v>
      </c>
      <c r="I56" s="3539"/>
      <c r="J56" s="3540"/>
      <c r="K56" s="1561" t="s">
        <v>2722</v>
      </c>
      <c r="L56" s="3538"/>
      <c r="M56" s="3539"/>
      <c r="N56" s="3540"/>
      <c r="O56" s="1559" t="s">
        <v>1734</v>
      </c>
      <c r="Q56" s="3541">
        <v>4043642937</v>
      </c>
      <c r="R56" s="3542"/>
      <c r="S56" s="3543"/>
    </row>
    <row r="57" spans="1:19" s="305" customFormat="1" ht="11.25" customHeight="1">
      <c r="E57" s="310" t="s">
        <v>1812</v>
      </c>
      <c r="H57" s="3544" t="s">
        <v>856</v>
      </c>
      <c r="K57" s="1562" t="s">
        <v>2245</v>
      </c>
      <c r="L57" s="3545">
        <v>303091851</v>
      </c>
      <c r="M57" s="3546"/>
      <c r="O57" s="1559" t="s">
        <v>1995</v>
      </c>
      <c r="Q57" s="3541">
        <v>7702625017</v>
      </c>
      <c r="R57" s="3542"/>
      <c r="S57" s="3543"/>
    </row>
    <row r="58" spans="1:19" s="305" customFormat="1" ht="11.25" customHeight="1">
      <c r="D58" s="348"/>
      <c r="E58" s="310" t="s">
        <v>4312</v>
      </c>
      <c r="H58" s="3541">
        <v>4043642900</v>
      </c>
      <c r="I58" s="3543"/>
      <c r="J58" s="3547"/>
      <c r="K58" s="1571" t="s">
        <v>2000</v>
      </c>
      <c r="L58" s="3533" t="s">
        <v>4558</v>
      </c>
      <c r="M58" s="3534"/>
      <c r="N58" s="3534"/>
      <c r="O58" s="3534"/>
      <c r="P58" s="3534"/>
      <c r="Q58" s="3534"/>
      <c r="R58" s="3534"/>
      <c r="S58" s="3535"/>
    </row>
    <row r="59" spans="1:19" s="305" customFormat="1" ht="6.6" customHeight="1">
      <c r="D59" s="348"/>
      <c r="E59" s="1570"/>
      <c r="F59" s="1570"/>
      <c r="G59" s="1559"/>
      <c r="H59" s="3548"/>
      <c r="I59" s="3548"/>
      <c r="J59" s="3548"/>
      <c r="K59" s="1571"/>
      <c r="L59" s="3548"/>
      <c r="M59" s="3548"/>
      <c r="N59" s="1558"/>
      <c r="O59" s="1613"/>
      <c r="P59" s="1613"/>
      <c r="Q59" s="1571"/>
      <c r="R59" s="1613"/>
      <c r="S59" s="1613"/>
    </row>
    <row r="60" spans="1:19" s="305" customFormat="1" ht="11.25" customHeight="1">
      <c r="B60" s="307" t="s">
        <v>2001</v>
      </c>
      <c r="C60" s="307" t="s">
        <v>285</v>
      </c>
      <c r="H60" s="3538" t="s">
        <v>4561</v>
      </c>
      <c r="I60" s="3539"/>
      <c r="J60" s="3539"/>
      <c r="K60" s="3539"/>
      <c r="L60" s="3539"/>
      <c r="M60" s="3539"/>
      <c r="N60" s="3540"/>
      <c r="O60" s="1559" t="s">
        <v>2005</v>
      </c>
      <c r="P60" s="1559"/>
      <c r="Q60" s="3538"/>
      <c r="R60" s="3539"/>
      <c r="S60" s="3540"/>
    </row>
    <row r="61" spans="1:19" s="305" customFormat="1" ht="11.25" customHeight="1">
      <c r="D61" s="348"/>
      <c r="E61" s="310" t="s">
        <v>1031</v>
      </c>
      <c r="F61" s="318"/>
      <c r="H61" s="3538"/>
      <c r="I61" s="3539"/>
      <c r="J61" s="3539"/>
      <c r="K61" s="3539"/>
      <c r="L61" s="3539"/>
      <c r="M61" s="3539"/>
      <c r="N61" s="3540"/>
      <c r="O61" s="1559" t="s">
        <v>1760</v>
      </c>
      <c r="Q61" s="3538"/>
      <c r="R61" s="3539"/>
      <c r="S61" s="3540"/>
    </row>
    <row r="62" spans="1:19" s="305" customFormat="1" ht="11.25" customHeight="1">
      <c r="D62" s="348"/>
      <c r="E62" s="310" t="s">
        <v>624</v>
      </c>
      <c r="H62" s="3538"/>
      <c r="I62" s="3539"/>
      <c r="J62" s="3540"/>
      <c r="K62" s="1561" t="s">
        <v>2722</v>
      </c>
      <c r="L62" s="3538"/>
      <c r="M62" s="3539"/>
      <c r="N62" s="3540"/>
      <c r="O62" s="1559" t="s">
        <v>1734</v>
      </c>
      <c r="Q62" s="3541"/>
      <c r="R62" s="3542"/>
      <c r="S62" s="3543"/>
    </row>
    <row r="63" spans="1:19" s="305" customFormat="1" ht="11.25" customHeight="1">
      <c r="E63" s="310" t="s">
        <v>1812</v>
      </c>
      <c r="H63" s="3544"/>
      <c r="K63" s="1562" t="s">
        <v>2245</v>
      </c>
      <c r="L63" s="3545"/>
      <c r="M63" s="3546"/>
      <c r="O63" s="1559" t="s">
        <v>1995</v>
      </c>
      <c r="Q63" s="3541"/>
      <c r="R63" s="3542"/>
      <c r="S63" s="3543"/>
    </row>
    <row r="64" spans="1:19" s="305" customFormat="1" ht="11.25" customHeight="1">
      <c r="D64" s="348"/>
      <c r="E64" s="310" t="s">
        <v>4312</v>
      </c>
      <c r="H64" s="3541"/>
      <c r="I64" s="3543"/>
      <c r="J64" s="3547"/>
      <c r="K64" s="1571" t="s">
        <v>2000</v>
      </c>
      <c r="L64" s="3533"/>
      <c r="M64" s="3534"/>
      <c r="N64" s="3534"/>
      <c r="O64" s="3534"/>
      <c r="P64" s="3534"/>
      <c r="Q64" s="3534"/>
      <c r="R64" s="3534"/>
      <c r="S64" s="3535"/>
    </row>
    <row r="65" spans="1:19" s="305" customFormat="1" ht="6.6" customHeight="1">
      <c r="D65" s="348"/>
      <c r="E65" s="1570"/>
      <c r="F65" s="1570"/>
      <c r="G65" s="1559"/>
      <c r="H65" s="3548"/>
      <c r="I65" s="3548"/>
      <c r="J65" s="3548"/>
      <c r="K65" s="1571"/>
      <c r="L65" s="3548"/>
      <c r="M65" s="3548"/>
      <c r="N65" s="1558"/>
      <c r="O65" s="1613"/>
      <c r="P65" s="1613"/>
      <c r="Q65" s="1571"/>
      <c r="R65" s="1613"/>
      <c r="S65" s="1613"/>
    </row>
    <row r="66" spans="1:19" s="305" customFormat="1" ht="11.25" customHeight="1">
      <c r="B66" s="307" t="s">
        <v>757</v>
      </c>
      <c r="C66" s="307" t="s">
        <v>1540</v>
      </c>
      <c r="H66" s="3538" t="s">
        <v>4561</v>
      </c>
      <c r="I66" s="3539"/>
      <c r="J66" s="3539"/>
      <c r="K66" s="3539"/>
      <c r="L66" s="3539"/>
      <c r="M66" s="3539"/>
      <c r="N66" s="3540"/>
      <c r="O66" s="1559" t="s">
        <v>2005</v>
      </c>
      <c r="P66" s="1559"/>
      <c r="Q66" s="3538"/>
      <c r="R66" s="3539"/>
      <c r="S66" s="3540"/>
    </row>
    <row r="67" spans="1:19" s="305" customFormat="1" ht="11.25" customHeight="1">
      <c r="D67" s="348"/>
      <c r="E67" s="310" t="s">
        <v>1031</v>
      </c>
      <c r="F67" s="318"/>
      <c r="H67" s="3538"/>
      <c r="I67" s="3539"/>
      <c r="J67" s="3539"/>
      <c r="K67" s="3539"/>
      <c r="L67" s="3539"/>
      <c r="M67" s="3539"/>
      <c r="N67" s="3540"/>
      <c r="O67" s="1559" t="s">
        <v>1760</v>
      </c>
      <c r="Q67" s="3538"/>
      <c r="R67" s="3539"/>
      <c r="S67" s="3540"/>
    </row>
    <row r="68" spans="1:19" s="305" customFormat="1" ht="11.25" customHeight="1">
      <c r="D68" s="348"/>
      <c r="E68" s="310" t="s">
        <v>624</v>
      </c>
      <c r="H68" s="3538"/>
      <c r="I68" s="3539"/>
      <c r="J68" s="3540"/>
      <c r="K68" s="1561" t="s">
        <v>2722</v>
      </c>
      <c r="L68" s="3538"/>
      <c r="M68" s="3539"/>
      <c r="N68" s="3540"/>
      <c r="O68" s="1559" t="s">
        <v>1734</v>
      </c>
      <c r="Q68" s="3541"/>
      <c r="R68" s="3542"/>
      <c r="S68" s="3543"/>
    </row>
    <row r="69" spans="1:19" s="305" customFormat="1" ht="11.25" customHeight="1">
      <c r="E69" s="310" t="s">
        <v>1812</v>
      </c>
      <c r="H69" s="3544"/>
      <c r="K69" s="1562" t="s">
        <v>2245</v>
      </c>
      <c r="L69" s="3545"/>
      <c r="M69" s="3546"/>
      <c r="O69" s="1559" t="s">
        <v>1995</v>
      </c>
      <c r="Q69" s="3541"/>
      <c r="R69" s="3542"/>
      <c r="S69" s="3543"/>
    </row>
    <row r="70" spans="1:19" s="305" customFormat="1" ht="11.25" customHeight="1">
      <c r="D70" s="348"/>
      <c r="E70" s="310" t="s">
        <v>4312</v>
      </c>
      <c r="H70" s="3541"/>
      <c r="I70" s="3543"/>
      <c r="J70" s="3547"/>
      <c r="K70" s="1571" t="s">
        <v>2000</v>
      </c>
      <c r="L70" s="3533"/>
      <c r="M70" s="3534"/>
      <c r="N70" s="3534"/>
      <c r="O70" s="3534"/>
      <c r="P70" s="3534"/>
      <c r="Q70" s="3534"/>
      <c r="R70" s="3534"/>
      <c r="S70" s="3535"/>
    </row>
    <row r="71" spans="1:19" ht="6.6" customHeight="1">
      <c r="H71" s="3548"/>
      <c r="I71" s="3548"/>
      <c r="J71" s="3548"/>
      <c r="K71" s="1571"/>
      <c r="L71" s="3548"/>
      <c r="M71" s="3548"/>
      <c r="N71" s="1558"/>
      <c r="O71" s="1613"/>
      <c r="P71" s="1613"/>
      <c r="Q71" s="1571"/>
      <c r="R71" s="1613"/>
      <c r="S71" s="1613"/>
    </row>
    <row r="72" spans="1:19" s="305" customFormat="1" ht="11.25" customHeight="1">
      <c r="B72" s="307" t="s">
        <v>2131</v>
      </c>
      <c r="C72" s="307" t="s">
        <v>286</v>
      </c>
      <c r="H72" s="3538" t="s">
        <v>4561</v>
      </c>
      <c r="I72" s="3539"/>
      <c r="J72" s="3539"/>
      <c r="K72" s="3539"/>
      <c r="L72" s="3539"/>
      <c r="M72" s="3539"/>
      <c r="N72" s="3540"/>
      <c r="O72" s="1559" t="s">
        <v>2005</v>
      </c>
      <c r="P72" s="1559"/>
      <c r="Q72" s="3538"/>
      <c r="R72" s="3539"/>
      <c r="S72" s="3540"/>
    </row>
    <row r="73" spans="1:19" s="305" customFormat="1" ht="11.25" customHeight="1">
      <c r="D73" s="348"/>
      <c r="E73" s="310" t="s">
        <v>1031</v>
      </c>
      <c r="F73" s="318"/>
      <c r="H73" s="3538"/>
      <c r="I73" s="3539"/>
      <c r="J73" s="3539"/>
      <c r="K73" s="3539"/>
      <c r="L73" s="3539"/>
      <c r="M73" s="3539"/>
      <c r="N73" s="3540"/>
      <c r="O73" s="1559" t="s">
        <v>1760</v>
      </c>
      <c r="Q73" s="3538"/>
      <c r="R73" s="3539"/>
      <c r="S73" s="3540"/>
    </row>
    <row r="74" spans="1:19" s="305" customFormat="1" ht="11.25" customHeight="1">
      <c r="D74" s="348"/>
      <c r="E74" s="310" t="s">
        <v>624</v>
      </c>
      <c r="H74" s="3538"/>
      <c r="I74" s="3539"/>
      <c r="J74" s="3540"/>
      <c r="K74" s="1561" t="s">
        <v>2722</v>
      </c>
      <c r="L74" s="3538"/>
      <c r="M74" s="3539"/>
      <c r="N74" s="3540"/>
      <c r="O74" s="1559" t="s">
        <v>1734</v>
      </c>
      <c r="Q74" s="3541"/>
      <c r="R74" s="3542"/>
      <c r="S74" s="3543"/>
    </row>
    <row r="75" spans="1:19" s="305" customFormat="1" ht="11.25" customHeight="1">
      <c r="E75" s="310" t="s">
        <v>1812</v>
      </c>
      <c r="H75" s="3544"/>
      <c r="K75" s="1562" t="s">
        <v>2245</v>
      </c>
      <c r="L75" s="3545"/>
      <c r="M75" s="3546"/>
      <c r="O75" s="1559" t="s">
        <v>1995</v>
      </c>
      <c r="Q75" s="3541"/>
      <c r="R75" s="3542"/>
      <c r="S75" s="3543"/>
    </row>
    <row r="76" spans="1:19" s="305" customFormat="1" ht="11.25" customHeight="1">
      <c r="D76" s="348"/>
      <c r="E76" s="310" t="s">
        <v>4312</v>
      </c>
      <c r="H76" s="3541"/>
      <c r="I76" s="3543"/>
      <c r="J76" s="3547"/>
      <c r="K76" s="1571" t="s">
        <v>2000</v>
      </c>
      <c r="L76" s="3533"/>
      <c r="M76" s="3534"/>
      <c r="N76" s="3534"/>
      <c r="O76" s="3534"/>
      <c r="P76" s="3534"/>
      <c r="Q76" s="3534"/>
      <c r="R76" s="3534"/>
      <c r="S76" s="3535"/>
    </row>
    <row r="77" spans="1:19" ht="6.75" customHeight="1"/>
    <row r="78" spans="1:19" s="310" customFormat="1" ht="13.15" customHeight="1">
      <c r="A78" s="311" t="s">
        <v>750</v>
      </c>
      <c r="B78" s="311" t="s">
        <v>287</v>
      </c>
      <c r="D78" s="311"/>
      <c r="E78" s="1559"/>
      <c r="F78" s="277"/>
      <c r="G78" s="277"/>
      <c r="H78" s="277"/>
      <c r="I78" s="277"/>
      <c r="J78" s="277"/>
      <c r="K78" s="1417" t="s">
        <v>4311</v>
      </c>
      <c r="L78" s="277"/>
      <c r="M78" s="277"/>
    </row>
    <row r="79" spans="1:19" s="310" customFormat="1" ht="3" customHeight="1">
      <c r="A79" s="311"/>
      <c r="B79" s="311"/>
      <c r="D79" s="311"/>
      <c r="E79" s="1559"/>
      <c r="F79" s="277"/>
      <c r="G79" s="277"/>
      <c r="H79" s="3549"/>
      <c r="I79" s="3549"/>
      <c r="J79" s="3549"/>
      <c r="K79" s="1558"/>
      <c r="L79" s="3549"/>
      <c r="M79" s="3549"/>
      <c r="N79" s="1558"/>
      <c r="O79" s="1613"/>
      <c r="P79" s="1613"/>
      <c r="Q79" s="1571"/>
      <c r="R79" s="1613"/>
      <c r="S79" s="1613"/>
    </row>
    <row r="80" spans="1:19" s="305" customFormat="1" ht="11.25" customHeight="1">
      <c r="B80" s="307" t="s">
        <v>1999</v>
      </c>
      <c r="C80" s="307" t="s">
        <v>288</v>
      </c>
      <c r="H80" s="3538" t="s">
        <v>4561</v>
      </c>
      <c r="I80" s="3539"/>
      <c r="J80" s="3539"/>
      <c r="K80" s="3539"/>
      <c r="L80" s="3539"/>
      <c r="M80" s="3539"/>
      <c r="N80" s="3540"/>
      <c r="O80" s="1559" t="s">
        <v>2005</v>
      </c>
      <c r="P80" s="1559"/>
      <c r="Q80" s="3538"/>
      <c r="R80" s="3539"/>
      <c r="S80" s="3540"/>
    </row>
    <row r="81" spans="2:19" s="305" customFormat="1" ht="11.25" customHeight="1">
      <c r="D81" s="348"/>
      <c r="E81" s="310" t="s">
        <v>1031</v>
      </c>
      <c r="F81" s="318"/>
      <c r="H81" s="3538"/>
      <c r="I81" s="3539"/>
      <c r="J81" s="3539"/>
      <c r="K81" s="3539"/>
      <c r="L81" s="3539"/>
      <c r="M81" s="3539"/>
      <c r="N81" s="3540"/>
      <c r="O81" s="1559" t="s">
        <v>1760</v>
      </c>
      <c r="Q81" s="3538"/>
      <c r="R81" s="3539"/>
      <c r="S81" s="3540"/>
    </row>
    <row r="82" spans="2:19" s="305" customFormat="1" ht="11.25" customHeight="1">
      <c r="D82" s="348"/>
      <c r="E82" s="310" t="s">
        <v>624</v>
      </c>
      <c r="H82" s="3538"/>
      <c r="I82" s="3539"/>
      <c r="J82" s="3540"/>
      <c r="K82" s="1561" t="s">
        <v>2722</v>
      </c>
      <c r="L82" s="3538"/>
      <c r="M82" s="3539"/>
      <c r="N82" s="3540"/>
      <c r="O82" s="1559" t="s">
        <v>1734</v>
      </c>
      <c r="Q82" s="3541"/>
      <c r="R82" s="3542"/>
      <c r="S82" s="3543"/>
    </row>
    <row r="83" spans="2:19" s="305" customFormat="1" ht="11.25" customHeight="1">
      <c r="E83" s="310" t="s">
        <v>1812</v>
      </c>
      <c r="H83" s="3544"/>
      <c r="K83" s="1562" t="s">
        <v>2245</v>
      </c>
      <c r="L83" s="3545"/>
      <c r="M83" s="3546"/>
      <c r="O83" s="1559" t="s">
        <v>1995</v>
      </c>
      <c r="Q83" s="3541"/>
      <c r="R83" s="3542"/>
      <c r="S83" s="3543"/>
    </row>
    <row r="84" spans="2:19" s="305" customFormat="1" ht="11.25" customHeight="1">
      <c r="D84" s="348"/>
      <c r="E84" s="310" t="s">
        <v>4312</v>
      </c>
      <c r="H84" s="3541"/>
      <c r="I84" s="3543"/>
      <c r="J84" s="3547"/>
      <c r="K84" s="1571" t="s">
        <v>2000</v>
      </c>
      <c r="L84" s="3533"/>
      <c r="M84" s="3534"/>
      <c r="N84" s="3534"/>
      <c r="O84" s="3534"/>
      <c r="P84" s="3534"/>
      <c r="Q84" s="3534"/>
      <c r="R84" s="3534"/>
      <c r="S84" s="3535"/>
    </row>
    <row r="85" spans="2:19" ht="6.6" customHeight="1">
      <c r="H85" s="3548"/>
      <c r="I85" s="3548"/>
      <c r="J85" s="3548"/>
      <c r="K85" s="1571"/>
      <c r="L85" s="3548"/>
      <c r="M85" s="3548"/>
      <c r="N85" s="1558"/>
      <c r="O85" s="1613"/>
      <c r="P85" s="1613"/>
      <c r="Q85" s="1571"/>
      <c r="R85" s="1613"/>
      <c r="S85" s="1613"/>
    </row>
    <row r="86" spans="2:19" s="305" customFormat="1" ht="11.25" customHeight="1">
      <c r="B86" s="307" t="s">
        <v>2001</v>
      </c>
      <c r="C86" s="307" t="s">
        <v>289</v>
      </c>
      <c r="H86" s="3538" t="s">
        <v>4572</v>
      </c>
      <c r="I86" s="3539"/>
      <c r="J86" s="3539"/>
      <c r="K86" s="3539"/>
      <c r="L86" s="3539"/>
      <c r="M86" s="3539"/>
      <c r="N86" s="3540"/>
      <c r="O86" s="1559" t="s">
        <v>2005</v>
      </c>
      <c r="P86" s="1559"/>
      <c r="Q86" s="3538" t="s">
        <v>4576</v>
      </c>
      <c r="R86" s="3539"/>
      <c r="S86" s="3540"/>
    </row>
    <row r="87" spans="2:19" s="305" customFormat="1" ht="11.25" customHeight="1">
      <c r="D87" s="348"/>
      <c r="E87" s="310" t="s">
        <v>1031</v>
      </c>
      <c r="F87" s="318"/>
      <c r="H87" s="3538" t="s">
        <v>4573</v>
      </c>
      <c r="I87" s="3539"/>
      <c r="J87" s="3539"/>
      <c r="K87" s="3539"/>
      <c r="L87" s="3539"/>
      <c r="M87" s="3539"/>
      <c r="N87" s="3540"/>
      <c r="O87" s="1559" t="s">
        <v>1760</v>
      </c>
      <c r="Q87" s="3538" t="s">
        <v>4577</v>
      </c>
      <c r="R87" s="3539"/>
      <c r="S87" s="3540"/>
    </row>
    <row r="88" spans="2:19" s="305" customFormat="1" ht="11.25" customHeight="1">
      <c r="D88" s="348"/>
      <c r="E88" s="310" t="s">
        <v>624</v>
      </c>
      <c r="H88" s="3538" t="s">
        <v>1217</v>
      </c>
      <c r="I88" s="3539"/>
      <c r="J88" s="3540"/>
      <c r="K88" s="1561" t="s">
        <v>2722</v>
      </c>
      <c r="L88" s="3538" t="s">
        <v>4574</v>
      </c>
      <c r="M88" s="3539"/>
      <c r="N88" s="3540"/>
      <c r="O88" s="1559" t="s">
        <v>1734</v>
      </c>
      <c r="Q88" s="3541"/>
      <c r="R88" s="3542"/>
      <c r="S88" s="3543"/>
    </row>
    <row r="89" spans="2:19" s="305" customFormat="1" ht="11.25" customHeight="1">
      <c r="E89" s="310" t="s">
        <v>1812</v>
      </c>
      <c r="H89" s="3544" t="s">
        <v>856</v>
      </c>
      <c r="K89" s="1562" t="s">
        <v>2245</v>
      </c>
      <c r="L89" s="3545">
        <v>303272245</v>
      </c>
      <c r="M89" s="3546"/>
      <c r="O89" s="1559" t="s">
        <v>1995</v>
      </c>
      <c r="Q89" s="3541">
        <v>4045207495</v>
      </c>
      <c r="R89" s="3542"/>
      <c r="S89" s="3543"/>
    </row>
    <row r="90" spans="2:19" s="305" customFormat="1" ht="11.25" customHeight="1">
      <c r="D90" s="348"/>
      <c r="E90" s="310" t="s">
        <v>4312</v>
      </c>
      <c r="H90" s="3541">
        <v>4049350077</v>
      </c>
      <c r="I90" s="3543"/>
      <c r="J90" s="3547"/>
      <c r="K90" s="1571" t="s">
        <v>2000</v>
      </c>
      <c r="L90" s="3533" t="s">
        <v>4575</v>
      </c>
      <c r="M90" s="3534"/>
      <c r="N90" s="3534"/>
      <c r="O90" s="3534"/>
      <c r="P90" s="3534"/>
      <c r="Q90" s="3534"/>
      <c r="R90" s="3534"/>
      <c r="S90" s="3535"/>
    </row>
    <row r="91" spans="2:19" ht="6.6" customHeight="1">
      <c r="H91" s="3548"/>
      <c r="I91" s="3548"/>
      <c r="J91" s="3548"/>
      <c r="K91" s="1571"/>
      <c r="L91" s="3548"/>
      <c r="M91" s="3548"/>
      <c r="N91" s="1558"/>
      <c r="O91" s="1613"/>
      <c r="P91" s="1613"/>
      <c r="Q91" s="1571"/>
      <c r="R91" s="1613"/>
      <c r="S91" s="1613"/>
    </row>
    <row r="92" spans="2:19" s="305" customFormat="1" ht="11.25" customHeight="1">
      <c r="B92" s="307" t="s">
        <v>757</v>
      </c>
      <c r="C92" s="307" t="s">
        <v>290</v>
      </c>
      <c r="F92" s="324"/>
      <c r="H92" s="3538" t="s">
        <v>4578</v>
      </c>
      <c r="I92" s="3539"/>
      <c r="J92" s="3539"/>
      <c r="K92" s="3539"/>
      <c r="L92" s="3539"/>
      <c r="M92" s="3539"/>
      <c r="N92" s="3540"/>
      <c r="O92" s="1559" t="s">
        <v>2005</v>
      </c>
      <c r="P92" s="1559"/>
      <c r="Q92" s="3538" t="s">
        <v>4581</v>
      </c>
      <c r="R92" s="3539"/>
      <c r="S92" s="3540"/>
    </row>
    <row r="93" spans="2:19" s="305" customFormat="1" ht="11.25" customHeight="1">
      <c r="D93" s="348"/>
      <c r="E93" s="310" t="s">
        <v>1031</v>
      </c>
      <c r="F93" s="318"/>
      <c r="H93" s="3538" t="s">
        <v>4563</v>
      </c>
      <c r="I93" s="3539"/>
      <c r="J93" s="3539"/>
      <c r="K93" s="3539"/>
      <c r="L93" s="3539"/>
      <c r="M93" s="3539"/>
      <c r="N93" s="3540"/>
      <c r="O93" s="1559" t="s">
        <v>1760</v>
      </c>
      <c r="Q93" s="3538" t="s">
        <v>4582</v>
      </c>
      <c r="R93" s="3539"/>
      <c r="S93" s="3540"/>
    </row>
    <row r="94" spans="2:19" s="305" customFormat="1" ht="11.25" customHeight="1">
      <c r="D94" s="348"/>
      <c r="E94" s="310" t="s">
        <v>624</v>
      </c>
      <c r="H94" s="3538" t="s">
        <v>2545</v>
      </c>
      <c r="I94" s="3539"/>
      <c r="J94" s="3540"/>
      <c r="K94" s="1561" t="s">
        <v>2722</v>
      </c>
      <c r="L94" s="3538" t="s">
        <v>4579</v>
      </c>
      <c r="M94" s="3539"/>
      <c r="N94" s="3540"/>
      <c r="O94" s="1559" t="s">
        <v>1734</v>
      </c>
      <c r="Q94" s="3541"/>
      <c r="R94" s="3542"/>
      <c r="S94" s="3543"/>
    </row>
    <row r="95" spans="2:19" s="305" customFormat="1" ht="11.25" customHeight="1">
      <c r="D95" s="348"/>
      <c r="E95" s="310" t="s">
        <v>1812</v>
      </c>
      <c r="H95" s="3544" t="s">
        <v>1353</v>
      </c>
      <c r="K95" s="1562" t="s">
        <v>2245</v>
      </c>
      <c r="L95" s="3545">
        <v>652034905</v>
      </c>
      <c r="M95" s="3546"/>
      <c r="O95" s="1559" t="s">
        <v>1995</v>
      </c>
      <c r="Q95" s="3541">
        <v>5732683474</v>
      </c>
      <c r="R95" s="3542"/>
      <c r="S95" s="3543"/>
    </row>
    <row r="96" spans="2:19" s="305" customFormat="1" ht="11.25" customHeight="1">
      <c r="D96" s="348"/>
      <c r="E96" s="310" t="s">
        <v>4312</v>
      </c>
      <c r="H96" s="3541">
        <v>5734432021</v>
      </c>
      <c r="I96" s="3543"/>
      <c r="J96" s="3547"/>
      <c r="K96" s="1571" t="s">
        <v>2000</v>
      </c>
      <c r="L96" s="3533" t="s">
        <v>4580</v>
      </c>
      <c r="M96" s="3534"/>
      <c r="N96" s="3534"/>
      <c r="O96" s="3534"/>
      <c r="P96" s="3534"/>
      <c r="Q96" s="3534"/>
      <c r="R96" s="3534"/>
      <c r="S96" s="3535"/>
    </row>
    <row r="97" spans="2:19" ht="6.6" customHeight="1">
      <c r="H97" s="3548"/>
      <c r="I97" s="3548"/>
      <c r="J97" s="3548"/>
      <c r="K97" s="1571"/>
      <c r="L97" s="3548"/>
      <c r="M97" s="3548"/>
      <c r="N97" s="1558"/>
      <c r="O97" s="1613"/>
      <c r="P97" s="1613"/>
      <c r="Q97" s="1571"/>
      <c r="R97" s="1613"/>
      <c r="S97" s="1613"/>
    </row>
    <row r="98" spans="2:19" s="305" customFormat="1" ht="11.25" customHeight="1">
      <c r="B98" s="307" t="s">
        <v>2131</v>
      </c>
      <c r="C98" s="307" t="s">
        <v>291</v>
      </c>
      <c r="H98" s="3538" t="s">
        <v>4583</v>
      </c>
      <c r="I98" s="3539"/>
      <c r="J98" s="3539"/>
      <c r="K98" s="3539"/>
      <c r="L98" s="3539"/>
      <c r="M98" s="3539"/>
      <c r="N98" s="3540"/>
      <c r="O98" s="1559" t="s">
        <v>2005</v>
      </c>
      <c r="P98" s="1559"/>
      <c r="Q98" s="3538" t="s">
        <v>4587</v>
      </c>
      <c r="R98" s="3539"/>
      <c r="S98" s="3540"/>
    </row>
    <row r="99" spans="2:19" s="305" customFormat="1" ht="11.25" customHeight="1">
      <c r="D99" s="348"/>
      <c r="E99" s="310" t="s">
        <v>1031</v>
      </c>
      <c r="F99" s="318"/>
      <c r="H99" s="3538" t="s">
        <v>4584</v>
      </c>
      <c r="I99" s="3539"/>
      <c r="J99" s="3539"/>
      <c r="K99" s="3539"/>
      <c r="L99" s="3539"/>
      <c r="M99" s="3539"/>
      <c r="N99" s="3540"/>
      <c r="O99" s="1559" t="s">
        <v>1760</v>
      </c>
      <c r="Q99" s="3538" t="s">
        <v>4588</v>
      </c>
      <c r="R99" s="3539"/>
      <c r="S99" s="3540"/>
    </row>
    <row r="100" spans="2:19" s="305" customFormat="1" ht="11.25" customHeight="1">
      <c r="D100" s="348"/>
      <c r="E100" s="310" t="s">
        <v>624</v>
      </c>
      <c r="H100" s="3538" t="s">
        <v>1709</v>
      </c>
      <c r="I100" s="3539"/>
      <c r="J100" s="3540"/>
      <c r="K100" s="1561" t="s">
        <v>2722</v>
      </c>
      <c r="L100" s="3538" t="s">
        <v>4585</v>
      </c>
      <c r="M100" s="3539"/>
      <c r="N100" s="3540"/>
      <c r="O100" s="1559" t="s">
        <v>1734</v>
      </c>
      <c r="Q100" s="3541">
        <v>2296718260</v>
      </c>
      <c r="R100" s="3542"/>
      <c r="S100" s="3543"/>
    </row>
    <row r="101" spans="2:19" s="305" customFormat="1" ht="11.25" customHeight="1">
      <c r="D101" s="348"/>
      <c r="E101" s="310" t="s">
        <v>1812</v>
      </c>
      <c r="H101" s="3544" t="s">
        <v>856</v>
      </c>
      <c r="K101" s="1562" t="s">
        <v>2245</v>
      </c>
      <c r="L101" s="3545">
        <v>316010000</v>
      </c>
      <c r="M101" s="3546"/>
      <c r="O101" s="1559" t="s">
        <v>1995</v>
      </c>
      <c r="Q101" s="3541">
        <v>2298349704</v>
      </c>
      <c r="R101" s="3542"/>
      <c r="S101" s="3543"/>
    </row>
    <row r="102" spans="2:19" ht="11.25" customHeight="1">
      <c r="E102" s="310" t="s">
        <v>4312</v>
      </c>
      <c r="F102" s="305"/>
      <c r="G102" s="305"/>
      <c r="H102" s="3541">
        <v>2296718260</v>
      </c>
      <c r="I102" s="3543"/>
      <c r="J102" s="3547"/>
      <c r="K102" s="1571" t="s">
        <v>2000</v>
      </c>
      <c r="L102" s="3533" t="s">
        <v>4586</v>
      </c>
      <c r="M102" s="3534"/>
      <c r="N102" s="3534"/>
      <c r="O102" s="3534"/>
      <c r="P102" s="3534"/>
      <c r="Q102" s="3534"/>
      <c r="R102" s="3534"/>
      <c r="S102" s="3535"/>
    </row>
    <row r="103" spans="2:19" ht="6" customHeight="1">
      <c r="E103" s="310"/>
      <c r="F103" s="305"/>
      <c r="G103" s="1570"/>
      <c r="H103" s="3549"/>
      <c r="I103" s="3549"/>
      <c r="J103" s="3549"/>
      <c r="K103" s="1558"/>
      <c r="L103" s="3549"/>
      <c r="M103" s="3549"/>
      <c r="N103" s="1558"/>
      <c r="O103" s="1613"/>
      <c r="P103" s="1613"/>
      <c r="Q103" s="1571"/>
      <c r="R103" s="1613"/>
      <c r="S103" s="1613"/>
    </row>
    <row r="104" spans="2:19" s="305" customFormat="1" ht="11.25" customHeight="1">
      <c r="B104" s="307" t="s">
        <v>1748</v>
      </c>
      <c r="C104" s="307" t="s">
        <v>292</v>
      </c>
      <c r="H104" s="3538" t="s">
        <v>4589</v>
      </c>
      <c r="I104" s="3539"/>
      <c r="J104" s="3539"/>
      <c r="K104" s="3539"/>
      <c r="L104" s="3539"/>
      <c r="M104" s="3539"/>
      <c r="N104" s="3540"/>
      <c r="O104" s="1559" t="s">
        <v>2005</v>
      </c>
      <c r="P104" s="1559"/>
      <c r="Q104" s="3538" t="s">
        <v>4593</v>
      </c>
      <c r="R104" s="3539"/>
      <c r="S104" s="3540"/>
    </row>
    <row r="105" spans="2:19" s="305" customFormat="1" ht="11.25" customHeight="1">
      <c r="D105" s="348"/>
      <c r="E105" s="310" t="s">
        <v>1031</v>
      </c>
      <c r="F105" s="318"/>
      <c r="H105" s="3538" t="s">
        <v>4590</v>
      </c>
      <c r="I105" s="3539"/>
      <c r="J105" s="3539"/>
      <c r="K105" s="3539"/>
      <c r="L105" s="3539"/>
      <c r="M105" s="3539"/>
      <c r="N105" s="3540"/>
      <c r="O105" s="1559" t="s">
        <v>1760</v>
      </c>
      <c r="Q105" s="3538" t="s">
        <v>4594</v>
      </c>
      <c r="R105" s="3539"/>
      <c r="S105" s="3540"/>
    </row>
    <row r="106" spans="2:19" s="305" customFormat="1" ht="11.25" customHeight="1">
      <c r="D106" s="348"/>
      <c r="E106" s="310" t="s">
        <v>624</v>
      </c>
      <c r="H106" s="3538" t="s">
        <v>1217</v>
      </c>
      <c r="I106" s="3539"/>
      <c r="J106" s="3540"/>
      <c r="K106" s="1561" t="s">
        <v>2722</v>
      </c>
      <c r="L106" s="3538" t="s">
        <v>4591</v>
      </c>
      <c r="M106" s="3539"/>
      <c r="N106" s="3540"/>
      <c r="O106" s="1559" t="s">
        <v>1734</v>
      </c>
      <c r="Q106" s="3541">
        <v>4042504050</v>
      </c>
      <c r="R106" s="3542"/>
      <c r="S106" s="3543"/>
    </row>
    <row r="107" spans="2:19" s="305" customFormat="1" ht="11.25" customHeight="1">
      <c r="D107" s="348"/>
      <c r="E107" s="310" t="s">
        <v>1812</v>
      </c>
      <c r="H107" s="3544" t="s">
        <v>856</v>
      </c>
      <c r="K107" s="1562" t="s">
        <v>2245</v>
      </c>
      <c r="L107" s="3545">
        <v>303264276</v>
      </c>
      <c r="M107" s="3546"/>
      <c r="O107" s="1559" t="s">
        <v>1995</v>
      </c>
      <c r="Q107" s="3541">
        <v>7703550090</v>
      </c>
      <c r="R107" s="3542"/>
      <c r="S107" s="3543"/>
    </row>
    <row r="108" spans="2:19" ht="11.25" customHeight="1">
      <c r="E108" s="310" t="s">
        <v>4312</v>
      </c>
      <c r="F108" s="305"/>
      <c r="G108" s="305"/>
      <c r="H108" s="3541">
        <v>4048479447</v>
      </c>
      <c r="I108" s="3543"/>
      <c r="J108" s="3547"/>
      <c r="K108" s="1571" t="s">
        <v>2000</v>
      </c>
      <c r="L108" s="3533" t="s">
        <v>4592</v>
      </c>
      <c r="M108" s="3534"/>
      <c r="N108" s="3534"/>
      <c r="O108" s="3534"/>
      <c r="P108" s="3534"/>
      <c r="Q108" s="3534"/>
      <c r="R108" s="3534"/>
      <c r="S108" s="3535"/>
    </row>
    <row r="109" spans="2:19" ht="6.6" customHeight="1">
      <c r="E109" s="310"/>
      <c r="F109" s="305"/>
      <c r="G109" s="1570"/>
      <c r="H109" s="3548"/>
      <c r="I109" s="3548"/>
      <c r="J109" s="3548"/>
      <c r="K109" s="1571"/>
      <c r="L109" s="3548"/>
      <c r="M109" s="3548"/>
      <c r="N109" s="1558"/>
      <c r="O109" s="1613"/>
      <c r="P109" s="1613"/>
      <c r="Q109" s="1571"/>
      <c r="R109" s="1613"/>
      <c r="S109" s="1613"/>
    </row>
    <row r="110" spans="2:19" s="305" customFormat="1" ht="11.25" customHeight="1">
      <c r="B110" s="307" t="s">
        <v>1749</v>
      </c>
      <c r="C110" s="307" t="s">
        <v>293</v>
      </c>
      <c r="H110" s="3538" t="s">
        <v>4595</v>
      </c>
      <c r="I110" s="3539"/>
      <c r="J110" s="3539"/>
      <c r="K110" s="3539"/>
      <c r="L110" s="3539"/>
      <c r="M110" s="3539"/>
      <c r="N110" s="3540"/>
      <c r="O110" s="1559" t="s">
        <v>2005</v>
      </c>
      <c r="P110" s="1559"/>
      <c r="Q110" s="3538" t="s">
        <v>4599</v>
      </c>
      <c r="R110" s="3539"/>
      <c r="S110" s="3540"/>
    </row>
    <row r="111" spans="2:19" s="305" customFormat="1" ht="11.25" customHeight="1">
      <c r="D111" s="348"/>
      <c r="E111" s="310" t="s">
        <v>1031</v>
      </c>
      <c r="F111" s="318"/>
      <c r="H111" s="3538" t="s">
        <v>4596</v>
      </c>
      <c r="I111" s="3539"/>
      <c r="J111" s="3539"/>
      <c r="K111" s="3539"/>
      <c r="L111" s="3539"/>
      <c r="M111" s="3539"/>
      <c r="N111" s="3540"/>
      <c r="O111" s="1559" t="s">
        <v>1760</v>
      </c>
      <c r="Q111" s="3538" t="s">
        <v>4600</v>
      </c>
      <c r="R111" s="3539"/>
      <c r="S111" s="3540"/>
    </row>
    <row r="112" spans="2:19" s="305" customFormat="1" ht="11.25" customHeight="1">
      <c r="D112" s="348"/>
      <c r="E112" s="310" t="s">
        <v>624</v>
      </c>
      <c r="H112" s="3538" t="s">
        <v>1709</v>
      </c>
      <c r="I112" s="3539"/>
      <c r="J112" s="3540"/>
      <c r="K112" s="1561" t="s">
        <v>2722</v>
      </c>
      <c r="L112" s="3538" t="s">
        <v>4598</v>
      </c>
      <c r="M112" s="3539"/>
      <c r="N112" s="3540"/>
      <c r="O112" s="1559" t="s">
        <v>1734</v>
      </c>
      <c r="Q112" s="3541"/>
      <c r="R112" s="3542"/>
      <c r="S112" s="3543"/>
    </row>
    <row r="113" spans="1:22" s="305" customFormat="1" ht="11.25" customHeight="1">
      <c r="D113" s="352"/>
      <c r="E113" s="310" t="s">
        <v>1812</v>
      </c>
      <c r="H113" s="3544" t="s">
        <v>856</v>
      </c>
      <c r="K113" s="1562" t="s">
        <v>2245</v>
      </c>
      <c r="L113" s="3545">
        <v>316020000</v>
      </c>
      <c r="M113" s="3546"/>
      <c r="O113" s="1559" t="s">
        <v>1995</v>
      </c>
      <c r="Q113" s="3541">
        <v>2295611863</v>
      </c>
      <c r="R113" s="3542"/>
      <c r="S113" s="3543"/>
    </row>
    <row r="114" spans="1:22" s="305" customFormat="1" ht="11.25" customHeight="1">
      <c r="D114" s="352"/>
      <c r="E114" s="310" t="s">
        <v>4312</v>
      </c>
      <c r="H114" s="3541">
        <v>2292441188</v>
      </c>
      <c r="I114" s="3543"/>
      <c r="J114" s="3547"/>
      <c r="K114" s="1571" t="s">
        <v>2000</v>
      </c>
      <c r="L114" s="3533" t="s">
        <v>4597</v>
      </c>
      <c r="M114" s="3534"/>
      <c r="N114" s="3534"/>
      <c r="O114" s="3534"/>
      <c r="P114" s="3534"/>
      <c r="Q114" s="3534"/>
      <c r="R114" s="3534"/>
      <c r="S114" s="3535"/>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21" t="s">
        <v>4601</v>
      </c>
      <c r="I117" s="3550"/>
      <c r="J117" s="3551"/>
      <c r="K117" s="1571" t="s">
        <v>2490</v>
      </c>
      <c r="L117" s="3538"/>
      <c r="M117" s="3539"/>
      <c r="N117" s="3540"/>
      <c r="O117" s="310" t="s">
        <v>3603</v>
      </c>
      <c r="Q117" s="3538">
        <v>7705476138</v>
      </c>
      <c r="R117" s="3539"/>
      <c r="S117" s="3540"/>
    </row>
    <row r="118" spans="1:22" s="305" customFormat="1" ht="11.25" customHeight="1">
      <c r="D118" s="348"/>
      <c r="E118" s="310" t="s">
        <v>1031</v>
      </c>
      <c r="F118" s="318"/>
      <c r="H118" s="3538" t="s">
        <v>4602</v>
      </c>
      <c r="I118" s="3539"/>
      <c r="J118" s="3539"/>
      <c r="K118" s="3539"/>
      <c r="L118" s="3539"/>
      <c r="M118" s="3539"/>
      <c r="N118" s="3540"/>
      <c r="O118" s="310" t="s">
        <v>624</v>
      </c>
      <c r="Q118" s="3538" t="s">
        <v>1032</v>
      </c>
      <c r="R118" s="3539"/>
      <c r="S118" s="3540"/>
    </row>
    <row r="119" spans="1:22" s="305" customFormat="1" ht="11.25" customHeight="1">
      <c r="D119" s="348"/>
      <c r="E119" s="310" t="s">
        <v>1812</v>
      </c>
      <c r="H119" s="3544" t="s">
        <v>856</v>
      </c>
      <c r="I119" s="1562" t="s">
        <v>2245</v>
      </c>
      <c r="J119" s="3552">
        <v>301201709</v>
      </c>
      <c r="K119" s="3540"/>
      <c r="L119" s="1571" t="s">
        <v>2000</v>
      </c>
      <c r="M119" s="3533" t="s">
        <v>4603</v>
      </c>
      <c r="N119" s="3534"/>
      <c r="O119" s="3534"/>
      <c r="P119" s="3534"/>
      <c r="Q119" s="3534"/>
      <c r="R119" s="3534"/>
      <c r="S119" s="3535"/>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3910</v>
      </c>
      <c r="B121" s="1690"/>
      <c r="C121" s="1690"/>
      <c r="D121" s="1690"/>
      <c r="E121" s="1691"/>
      <c r="F121" s="3553" t="s">
        <v>2527</v>
      </c>
      <c r="G121" s="3554" t="s">
        <v>3502</v>
      </c>
      <c r="H121" s="3555"/>
      <c r="I121" s="3555"/>
      <c r="J121" s="3555"/>
      <c r="K121" s="3555"/>
      <c r="L121" s="3555"/>
      <c r="M121" s="3555"/>
      <c r="N121" s="3555"/>
      <c r="O121" s="3555"/>
      <c r="P121" s="3555"/>
      <c r="Q121" s="3555"/>
      <c r="R121" s="3555"/>
      <c r="S121" s="3556"/>
    </row>
    <row r="122" spans="1:22" s="305" customFormat="1" ht="31.5" customHeight="1">
      <c r="B122" s="521"/>
      <c r="C122" s="1195" t="s">
        <v>2002</v>
      </c>
      <c r="D122" s="1660" t="s">
        <v>2855</v>
      </c>
      <c r="E122" s="1692"/>
      <c r="F122" s="3557" t="s">
        <v>3014</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2921</v>
      </c>
      <c r="E123" s="1689"/>
      <c r="F123" s="3558" t="s">
        <v>3014</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2897</v>
      </c>
      <c r="E124" s="1689"/>
      <c r="F124" s="3558" t="s">
        <v>3011</v>
      </c>
      <c r="G124" s="3051" t="s">
        <v>4604</v>
      </c>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2856</v>
      </c>
      <c r="E125" s="1689"/>
      <c r="F125" s="3558" t="s">
        <v>3014</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3489</v>
      </c>
      <c r="E126" s="1689"/>
      <c r="F126" s="3558" t="s">
        <v>3014</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3490</v>
      </c>
      <c r="E127" s="1689"/>
      <c r="F127" s="3558" t="s">
        <v>3011</v>
      </c>
      <c r="G127" s="3051" t="s">
        <v>4605</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2857</v>
      </c>
      <c r="E128" s="1689"/>
      <c r="F128" s="3558"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9" t="s">
        <v>4606</v>
      </c>
      <c r="E129" s="3560"/>
      <c r="F129" s="3561" t="s">
        <v>3011</v>
      </c>
      <c r="G129" s="3054" t="s">
        <v>4607</v>
      </c>
      <c r="H129" s="3055"/>
      <c r="I129" s="3055"/>
      <c r="J129" s="3055"/>
      <c r="K129" s="3055"/>
      <c r="L129" s="3055"/>
      <c r="M129" s="3055"/>
      <c r="N129" s="3055"/>
      <c r="O129" s="3055"/>
      <c r="P129" s="3055"/>
      <c r="Q129" s="3055"/>
      <c r="R129" s="3055"/>
      <c r="S129" s="3056"/>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8"/>
      <c r="F138" s="3049"/>
      <c r="G138" s="3049"/>
      <c r="H138" s="3049"/>
      <c r="I138" s="3562" t="s">
        <v>3014</v>
      </c>
      <c r="J138" s="3557" t="s">
        <v>3014</v>
      </c>
      <c r="K138" s="3563" t="s">
        <v>4608</v>
      </c>
      <c r="L138" s="3564">
        <v>1E-4</v>
      </c>
      <c r="M138" s="3565" t="s">
        <v>3014</v>
      </c>
      <c r="N138" s="3566"/>
      <c r="O138" s="3049"/>
      <c r="P138" s="3049"/>
      <c r="Q138" s="3049"/>
      <c r="R138" s="3049"/>
      <c r="S138" s="3050"/>
    </row>
    <row r="139" spans="1:22" s="305" customFormat="1" ht="24" customHeight="1">
      <c r="A139" s="1650" t="s">
        <v>3466</v>
      </c>
      <c r="B139" s="1651"/>
      <c r="C139" s="1651"/>
      <c r="D139" s="1652"/>
      <c r="E139" s="3051"/>
      <c r="F139" s="3052"/>
      <c r="G139" s="3052"/>
      <c r="H139" s="3052"/>
      <c r="I139" s="3567"/>
      <c r="J139" s="3558"/>
      <c r="K139" s="3568"/>
      <c r="L139" s="3569"/>
      <c r="M139" s="3570"/>
      <c r="N139" s="3571"/>
      <c r="O139" s="3052"/>
      <c r="P139" s="3052"/>
      <c r="Q139" s="3052"/>
      <c r="R139" s="3052"/>
      <c r="S139" s="3053"/>
      <c r="U139" s="1696" t="s">
        <v>2047</v>
      </c>
      <c r="V139" s="1696"/>
    </row>
    <row r="140" spans="1:22" s="305" customFormat="1" ht="24" customHeight="1">
      <c r="A140" s="1650" t="s">
        <v>3467</v>
      </c>
      <c r="B140" s="1651"/>
      <c r="C140" s="1651"/>
      <c r="D140" s="1652"/>
      <c r="E140" s="3051"/>
      <c r="F140" s="3052"/>
      <c r="G140" s="3052"/>
      <c r="H140" s="3052"/>
      <c r="I140" s="3567"/>
      <c r="J140" s="3558"/>
      <c r="K140" s="3568"/>
      <c r="L140" s="3569"/>
      <c r="M140" s="3570"/>
      <c r="N140" s="3571"/>
      <c r="O140" s="3052"/>
      <c r="P140" s="3052"/>
      <c r="Q140" s="3052"/>
      <c r="R140" s="3052"/>
      <c r="S140" s="3053"/>
      <c r="U140" s="1696"/>
      <c r="V140" s="1696"/>
    </row>
    <row r="141" spans="1:22" s="305" customFormat="1" ht="24" customHeight="1">
      <c r="A141" s="1650" t="s">
        <v>3468</v>
      </c>
      <c r="B141" s="1651"/>
      <c r="C141" s="1651"/>
      <c r="D141" s="1652"/>
      <c r="E141" s="3051"/>
      <c r="F141" s="3052"/>
      <c r="G141" s="3052"/>
      <c r="H141" s="3052"/>
      <c r="I141" s="3567" t="s">
        <v>3014</v>
      </c>
      <c r="J141" s="3558" t="s">
        <v>3014</v>
      </c>
      <c r="K141" s="3568" t="s">
        <v>4608</v>
      </c>
      <c r="L141" s="3569">
        <v>0.9899</v>
      </c>
      <c r="M141" s="3570" t="s">
        <v>3014</v>
      </c>
      <c r="N141" s="3571"/>
      <c r="O141" s="3052"/>
      <c r="P141" s="3052"/>
      <c r="Q141" s="3052"/>
      <c r="R141" s="3052"/>
      <c r="S141" s="3053"/>
      <c r="U141" s="1696"/>
      <c r="V141" s="1696"/>
    </row>
    <row r="142" spans="1:22" s="305" customFormat="1" ht="24" customHeight="1">
      <c r="A142" s="1650" t="s">
        <v>3469</v>
      </c>
      <c r="B142" s="1651"/>
      <c r="C142" s="1651"/>
      <c r="D142" s="1652"/>
      <c r="E142" s="3051"/>
      <c r="F142" s="3052"/>
      <c r="G142" s="3052"/>
      <c r="H142" s="3052"/>
      <c r="I142" s="3567" t="s">
        <v>3014</v>
      </c>
      <c r="J142" s="3558" t="s">
        <v>3014</v>
      </c>
      <c r="K142" s="3568" t="s">
        <v>4608</v>
      </c>
      <c r="L142" s="3569">
        <v>0.01</v>
      </c>
      <c r="M142" s="3570" t="s">
        <v>3014</v>
      </c>
      <c r="N142" s="3571"/>
      <c r="O142" s="3052"/>
      <c r="P142" s="3052"/>
      <c r="Q142" s="3052"/>
      <c r="R142" s="3052"/>
      <c r="S142" s="3053"/>
      <c r="U142" s="1696"/>
      <c r="V142" s="1696"/>
    </row>
    <row r="143" spans="1:22" s="305" customFormat="1" ht="24" customHeight="1">
      <c r="A143" s="1650" t="s">
        <v>2914</v>
      </c>
      <c r="B143" s="1651"/>
      <c r="C143" s="1651"/>
      <c r="D143" s="1652"/>
      <c r="E143" s="3051"/>
      <c r="F143" s="3052"/>
      <c r="G143" s="3052"/>
      <c r="H143" s="3052"/>
      <c r="I143" s="3567" t="s">
        <v>3014</v>
      </c>
      <c r="J143" s="3558" t="s">
        <v>3014</v>
      </c>
      <c r="K143" s="3568" t="s">
        <v>2617</v>
      </c>
      <c r="L143" s="3569">
        <v>0</v>
      </c>
      <c r="M143" s="3570" t="s">
        <v>3014</v>
      </c>
      <c r="N143" s="3571"/>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7" t="s">
        <v>3014</v>
      </c>
      <c r="J144" s="3558" t="s">
        <v>3014</v>
      </c>
      <c r="K144" s="3568" t="s">
        <v>4608</v>
      </c>
      <c r="L144" s="3569">
        <v>0</v>
      </c>
      <c r="M144" s="3570" t="s">
        <v>3014</v>
      </c>
      <c r="N144" s="3571"/>
      <c r="O144" s="3052"/>
      <c r="P144" s="3052"/>
      <c r="Q144" s="3052"/>
      <c r="R144" s="3052"/>
      <c r="S144" s="3053"/>
      <c r="U144" s="1696"/>
      <c r="V144" s="1696"/>
    </row>
    <row r="145" spans="1:24" s="305" customFormat="1" ht="24" customHeight="1">
      <c r="A145" s="1650" t="s">
        <v>2915</v>
      </c>
      <c r="B145" s="1651"/>
      <c r="C145" s="1651"/>
      <c r="D145" s="1652"/>
      <c r="E145" s="3051"/>
      <c r="F145" s="3052"/>
      <c r="G145" s="3052"/>
      <c r="H145" s="3052"/>
      <c r="I145" s="3567"/>
      <c r="J145" s="3558"/>
      <c r="K145" s="3568"/>
      <c r="L145" s="3569"/>
      <c r="M145" s="3570"/>
      <c r="N145" s="3571"/>
      <c r="O145" s="3052"/>
      <c r="P145" s="3052"/>
      <c r="Q145" s="3052"/>
      <c r="R145" s="3052"/>
      <c r="S145" s="3053"/>
    </row>
    <row r="146" spans="1:24" s="305" customFormat="1" ht="24" customHeight="1">
      <c r="A146" s="1650" t="s">
        <v>2916</v>
      </c>
      <c r="B146" s="1651"/>
      <c r="C146" s="1651"/>
      <c r="D146" s="1652"/>
      <c r="E146" s="3051"/>
      <c r="F146" s="3052"/>
      <c r="G146" s="3052"/>
      <c r="H146" s="3052"/>
      <c r="I146" s="3567"/>
      <c r="J146" s="3558"/>
      <c r="K146" s="3568"/>
      <c r="L146" s="3569"/>
      <c r="M146" s="3570"/>
      <c r="N146" s="3571"/>
      <c r="O146" s="3052"/>
      <c r="P146" s="3052"/>
      <c r="Q146" s="3052"/>
      <c r="R146" s="3052"/>
      <c r="S146" s="3053"/>
    </row>
    <row r="147" spans="1:24" s="305" customFormat="1" ht="24" customHeight="1">
      <c r="A147" s="1650" t="s">
        <v>2918</v>
      </c>
      <c r="B147" s="1651"/>
      <c r="C147" s="1651"/>
      <c r="D147" s="1652"/>
      <c r="E147" s="3051"/>
      <c r="F147" s="3052"/>
      <c r="G147" s="3052"/>
      <c r="H147" s="3052"/>
      <c r="I147" s="3567"/>
      <c r="J147" s="3558"/>
      <c r="K147" s="3568"/>
      <c r="L147" s="3569"/>
      <c r="M147" s="3570"/>
      <c r="N147" s="3571"/>
      <c r="O147" s="3052"/>
      <c r="P147" s="3052"/>
      <c r="Q147" s="3052"/>
      <c r="R147" s="3052"/>
      <c r="S147" s="3053"/>
    </row>
    <row r="148" spans="1:24" s="305" customFormat="1" ht="24" customHeight="1">
      <c r="A148" s="1650" t="s">
        <v>2917</v>
      </c>
      <c r="B148" s="1651"/>
      <c r="C148" s="1651"/>
      <c r="D148" s="1652"/>
      <c r="E148" s="3051"/>
      <c r="F148" s="3052"/>
      <c r="G148" s="3052"/>
      <c r="H148" s="3052"/>
      <c r="I148" s="3567"/>
      <c r="J148" s="3558"/>
      <c r="K148" s="3568"/>
      <c r="L148" s="3569"/>
      <c r="M148" s="3570"/>
      <c r="N148" s="3571"/>
      <c r="O148" s="3052"/>
      <c r="P148" s="3052"/>
      <c r="Q148" s="3052"/>
      <c r="R148" s="3052"/>
      <c r="S148" s="3053"/>
    </row>
    <row r="149" spans="1:24" s="305" customFormat="1" ht="24" customHeight="1">
      <c r="A149" s="1650" t="s">
        <v>1541</v>
      </c>
      <c r="B149" s="1651"/>
      <c r="C149" s="1651"/>
      <c r="D149" s="1652"/>
      <c r="E149" s="3051"/>
      <c r="F149" s="3052"/>
      <c r="G149" s="3052"/>
      <c r="H149" s="3052"/>
      <c r="I149" s="3567" t="s">
        <v>3014</v>
      </c>
      <c r="J149" s="3558" t="s">
        <v>3014</v>
      </c>
      <c r="K149" s="3568" t="s">
        <v>4608</v>
      </c>
      <c r="L149" s="3569">
        <v>0</v>
      </c>
      <c r="M149" s="3570" t="s">
        <v>3014</v>
      </c>
      <c r="N149" s="3571"/>
      <c r="O149" s="3052"/>
      <c r="P149" s="3052"/>
      <c r="Q149" s="3052"/>
      <c r="R149" s="3052"/>
      <c r="S149" s="3053"/>
    </row>
    <row r="150" spans="1:24" s="305" customFormat="1" ht="24" customHeight="1">
      <c r="A150" s="1653" t="s">
        <v>2919</v>
      </c>
      <c r="B150" s="1654"/>
      <c r="C150" s="1654"/>
      <c r="D150" s="1655"/>
      <c r="E150" s="3054"/>
      <c r="F150" s="3055"/>
      <c r="G150" s="3055"/>
      <c r="H150" s="3055"/>
      <c r="I150" s="3572" t="s">
        <v>3014</v>
      </c>
      <c r="J150" s="3561" t="s">
        <v>3014</v>
      </c>
      <c r="K150" s="3573" t="s">
        <v>4608</v>
      </c>
      <c r="L150" s="3574">
        <v>0</v>
      </c>
      <c r="M150" s="3575" t="s">
        <v>3014</v>
      </c>
      <c r="N150" s="3576"/>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6" t="s">
        <v>4609</v>
      </c>
      <c r="B153" s="3577"/>
      <c r="C153" s="3577"/>
      <c r="D153" s="3577"/>
      <c r="E153" s="3577"/>
      <c r="F153" s="3577"/>
      <c r="G153" s="3577"/>
      <c r="H153" s="3577"/>
      <c r="I153" s="3577"/>
      <c r="J153" s="3577"/>
      <c r="K153" s="3577"/>
      <c r="L153" s="3577"/>
      <c r="M153" s="3578"/>
      <c r="N153" s="3579"/>
      <c r="O153" s="3580"/>
      <c r="P153" s="3580"/>
      <c r="Q153" s="3580"/>
      <c r="R153" s="3580"/>
      <c r="S153" s="3581"/>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82"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3" t="s">
        <v>846</v>
      </c>
    </row>
    <row r="160" spans="1:24" s="305" customFormat="1" ht="12" customHeight="1">
      <c r="A160" s="348"/>
      <c r="B160" s="324"/>
      <c r="C160" s="324"/>
      <c r="D160" s="324"/>
      <c r="E160" s="324"/>
      <c r="F160" s="324"/>
      <c r="G160" s="324"/>
      <c r="H160" s="324"/>
      <c r="I160" s="324"/>
      <c r="J160" s="324"/>
      <c r="K160" s="324"/>
      <c r="L160" s="324"/>
      <c r="M160" s="324"/>
      <c r="N160" s="324"/>
      <c r="O160" s="324"/>
      <c r="P160" s="3583" t="s">
        <v>847</v>
      </c>
    </row>
    <row r="161" spans="1:16" s="305" customFormat="1" ht="12" customHeight="1">
      <c r="A161" s="348"/>
      <c r="B161" s="324"/>
      <c r="C161" s="324"/>
      <c r="D161" s="324"/>
      <c r="E161" s="324"/>
      <c r="F161" s="324"/>
      <c r="G161" s="324"/>
      <c r="H161" s="324"/>
      <c r="I161" s="324"/>
      <c r="J161" s="324"/>
      <c r="K161" s="324"/>
      <c r="L161" s="324"/>
      <c r="M161" s="324"/>
      <c r="N161" s="324"/>
      <c r="O161" s="324"/>
      <c r="P161" s="3583" t="s">
        <v>848</v>
      </c>
    </row>
    <row r="162" spans="1:16" s="305" customFormat="1" ht="12" customHeight="1">
      <c r="A162" s="501"/>
      <c r="B162" s="324"/>
      <c r="C162" s="324"/>
      <c r="D162" s="324"/>
      <c r="E162" s="324"/>
      <c r="F162" s="324"/>
      <c r="G162" s="324"/>
      <c r="H162" s="324"/>
      <c r="I162" s="324"/>
      <c r="J162" s="324"/>
      <c r="K162" s="324"/>
      <c r="L162" s="324"/>
      <c r="M162" s="324"/>
      <c r="N162" s="324"/>
      <c r="O162" s="324"/>
      <c r="P162" s="3583" t="s">
        <v>849</v>
      </c>
    </row>
    <row r="163" spans="1:16" s="305" customFormat="1" ht="12" customHeight="1">
      <c r="B163" s="324"/>
      <c r="C163" s="324"/>
      <c r="D163" s="324"/>
      <c r="E163" s="324"/>
      <c r="F163" s="324"/>
      <c r="G163" s="324"/>
      <c r="H163" s="324"/>
      <c r="I163" s="324"/>
      <c r="J163" s="324"/>
      <c r="K163" s="324"/>
      <c r="L163" s="324"/>
      <c r="M163" s="324"/>
      <c r="N163" s="324"/>
      <c r="O163" s="324"/>
      <c r="P163" s="3583" t="s">
        <v>850</v>
      </c>
    </row>
    <row r="164" spans="1:16" s="305" customFormat="1" ht="12" customHeight="1">
      <c r="B164" s="324"/>
      <c r="C164" s="324"/>
      <c r="D164" s="324"/>
      <c r="E164" s="324"/>
      <c r="F164" s="324"/>
      <c r="G164" s="324"/>
      <c r="H164" s="324"/>
      <c r="I164" s="324"/>
      <c r="J164" s="324"/>
      <c r="K164" s="324"/>
      <c r="L164" s="324"/>
      <c r="M164" s="324"/>
      <c r="N164" s="324"/>
      <c r="O164" s="324"/>
      <c r="P164" s="3583" t="s">
        <v>851</v>
      </c>
    </row>
    <row r="165" spans="1:16" s="305" customFormat="1" ht="12" customHeight="1">
      <c r="B165" s="324"/>
      <c r="C165" s="324"/>
      <c r="D165" s="324"/>
      <c r="E165" s="324"/>
      <c r="F165" s="324"/>
      <c r="G165" s="324"/>
      <c r="H165" s="324"/>
      <c r="I165" s="324"/>
      <c r="J165" s="324"/>
      <c r="K165" s="324"/>
      <c r="L165" s="324"/>
      <c r="M165" s="324"/>
      <c r="N165" s="324"/>
      <c r="O165" s="324"/>
      <c r="P165" s="3583" t="s">
        <v>852</v>
      </c>
    </row>
    <row r="166" spans="1:16" s="305" customFormat="1" ht="12" customHeight="1">
      <c r="B166" s="324"/>
      <c r="C166" s="324"/>
      <c r="D166" s="324"/>
      <c r="E166" s="324"/>
      <c r="F166" s="324"/>
      <c r="G166" s="324"/>
      <c r="H166" s="324"/>
      <c r="I166" s="324"/>
      <c r="J166" s="324"/>
      <c r="K166" s="324"/>
      <c r="L166" s="324"/>
      <c r="M166" s="324"/>
      <c r="N166" s="324"/>
      <c r="O166" s="324"/>
      <c r="P166" s="3583" t="s">
        <v>853</v>
      </c>
    </row>
    <row r="167" spans="1:16" ht="12" customHeight="1">
      <c r="P167" s="3583" t="s">
        <v>854</v>
      </c>
    </row>
    <row r="168" spans="1:16" ht="12" customHeight="1">
      <c r="A168" s="333"/>
      <c r="P168" s="3583" t="s">
        <v>855</v>
      </c>
    </row>
    <row r="169" spans="1:16" ht="12" customHeight="1">
      <c r="P169" s="3583" t="s">
        <v>856</v>
      </c>
    </row>
    <row r="170" spans="1:16" ht="12" customHeight="1">
      <c r="P170" s="3583" t="s">
        <v>857</v>
      </c>
    </row>
    <row r="171" spans="1:16" ht="12" customHeight="1">
      <c r="P171" s="3583" t="s">
        <v>858</v>
      </c>
    </row>
    <row r="172" spans="1:16" ht="12" customHeight="1">
      <c r="P172" s="3583" t="s">
        <v>859</v>
      </c>
    </row>
    <row r="173" spans="1:16" ht="12" customHeight="1">
      <c r="P173" s="3583" t="s">
        <v>860</v>
      </c>
    </row>
    <row r="174" spans="1:16" ht="12" customHeight="1">
      <c r="P174" s="3583" t="s">
        <v>861</v>
      </c>
    </row>
    <row r="175" spans="1:16" ht="12" customHeight="1">
      <c r="P175" s="3583" t="s">
        <v>862</v>
      </c>
    </row>
    <row r="176" spans="1:16" ht="12" customHeight="1">
      <c r="P176" s="3583" t="s">
        <v>863</v>
      </c>
    </row>
    <row r="177" spans="16:16" ht="12" customHeight="1">
      <c r="P177" s="3583" t="s">
        <v>864</v>
      </c>
    </row>
    <row r="178" spans="16:16" ht="12" customHeight="1">
      <c r="P178" s="3583" t="s">
        <v>865</v>
      </c>
    </row>
    <row r="179" spans="16:16" ht="12" customHeight="1">
      <c r="P179" s="3583" t="s">
        <v>866</v>
      </c>
    </row>
    <row r="180" spans="16:16" ht="12" customHeight="1">
      <c r="P180" s="3583" t="s">
        <v>867</v>
      </c>
    </row>
    <row r="181" spans="16:16" ht="12" customHeight="1">
      <c r="P181" s="3583" t="s">
        <v>868</v>
      </c>
    </row>
    <row r="182" spans="16:16" ht="12" customHeight="1">
      <c r="P182" s="3583" t="s">
        <v>869</v>
      </c>
    </row>
    <row r="183" spans="16:16" ht="12" customHeight="1">
      <c r="P183" s="3583" t="s">
        <v>870</v>
      </c>
    </row>
    <row r="184" spans="16:16" ht="12" customHeight="1">
      <c r="P184" s="3583" t="s">
        <v>1353</v>
      </c>
    </row>
    <row r="185" spans="16:16" ht="12" customHeight="1">
      <c r="P185" s="3583" t="s">
        <v>1354</v>
      </c>
    </row>
    <row r="186" spans="16:16" ht="12" customHeight="1">
      <c r="P186" s="3583" t="s">
        <v>1355</v>
      </c>
    </row>
    <row r="187" spans="16:16" ht="12" customHeight="1">
      <c r="P187" s="3583" t="s">
        <v>1356</v>
      </c>
    </row>
    <row r="188" spans="16:16" ht="12" customHeight="1">
      <c r="P188" s="3583" t="s">
        <v>1357</v>
      </c>
    </row>
    <row r="189" spans="16:16" ht="13.5">
      <c r="P189" s="3583" t="s">
        <v>1358</v>
      </c>
    </row>
    <row r="190" spans="16:16" ht="12" customHeight="1">
      <c r="P190" s="3583" t="s">
        <v>1359</v>
      </c>
    </row>
    <row r="191" spans="16:16" ht="12" customHeight="1">
      <c r="P191" s="3583" t="s">
        <v>1360</v>
      </c>
    </row>
    <row r="192" spans="16:16" ht="12" customHeight="1">
      <c r="P192" s="3583" t="s">
        <v>1361</v>
      </c>
    </row>
    <row r="193" spans="16:16" ht="12" customHeight="1">
      <c r="P193" s="3583" t="s">
        <v>1362</v>
      </c>
    </row>
    <row r="194" spans="16:16" ht="12" customHeight="1">
      <c r="P194" s="3583" t="s">
        <v>1363</v>
      </c>
    </row>
    <row r="195" spans="16:16" ht="12" customHeight="1">
      <c r="P195" s="3583" t="s">
        <v>1364</v>
      </c>
    </row>
    <row r="196" spans="16:16" ht="12" customHeight="1">
      <c r="P196" s="3583" t="s">
        <v>1365</v>
      </c>
    </row>
    <row r="197" spans="16:16" ht="12" customHeight="1">
      <c r="P197" s="3583" t="s">
        <v>1366</v>
      </c>
    </row>
    <row r="198" spans="16:16" ht="12" customHeight="1">
      <c r="P198" s="3583" t="s">
        <v>1367</v>
      </c>
    </row>
    <row r="199" spans="16:16" ht="12" customHeight="1">
      <c r="P199" s="3583" t="s">
        <v>1368</v>
      </c>
    </row>
    <row r="200" spans="16:16" ht="12" customHeight="1">
      <c r="P200" s="3583" t="s">
        <v>1369</v>
      </c>
    </row>
    <row r="201" spans="16:16" ht="12" customHeight="1">
      <c r="P201" s="3583" t="s">
        <v>1370</v>
      </c>
    </row>
    <row r="202" spans="16:16" ht="12" customHeight="1">
      <c r="P202" s="3583" t="s">
        <v>1371</v>
      </c>
    </row>
    <row r="203" spans="16:16" ht="12" customHeight="1">
      <c r="P203" s="3583" t="s">
        <v>1372</v>
      </c>
    </row>
    <row r="204" spans="16:16" ht="12" customHeight="1">
      <c r="P204" s="3583" t="s">
        <v>1373</v>
      </c>
    </row>
    <row r="205" spans="16:16" ht="12" customHeight="1">
      <c r="P205" s="3583" t="s">
        <v>1374</v>
      </c>
    </row>
    <row r="206" spans="16:16" ht="12" customHeight="1">
      <c r="P206" s="3583" t="s">
        <v>1375</v>
      </c>
    </row>
    <row r="207" spans="16:16" ht="12" customHeight="1">
      <c r="P207" s="3583" t="s">
        <v>1376</v>
      </c>
    </row>
    <row r="208" spans="16:16" ht="12" customHeight="1">
      <c r="P208" s="3583" t="s">
        <v>1377</v>
      </c>
    </row>
    <row r="209" spans="16:16" ht="12" customHeight="1">
      <c r="P209" s="3583" t="s">
        <v>1378</v>
      </c>
    </row>
  </sheetData>
  <sheetProtection algorithmName="SHA-512" hashValue="TlPfzk7uhz8szHgD/t9q6OwcoOPUWbOis0jS8uPsw2JTdNwN+1+7hPSAbWMDzYBij2tfwwUynAr5phK+uH7Qbw==" saltValue="oFveYut3lXFTN5UBV4DzF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2018-035 Peaks of Cartersville, Cartersville, Bartow County</v>
      </c>
      <c r="B1" s="1694"/>
      <c r="C1" s="1694"/>
      <c r="D1" s="1694"/>
      <c r="E1" s="1694"/>
      <c r="F1" s="1694"/>
      <c r="G1" s="1694"/>
      <c r="H1" s="1694"/>
      <c r="I1" s="1694"/>
      <c r="J1" s="1694"/>
      <c r="K1" s="1694"/>
      <c r="L1" s="1694"/>
      <c r="M1" s="1694"/>
      <c r="N1" s="1694"/>
      <c r="O1" s="1694"/>
      <c r="P1" s="1694"/>
      <c r="Q1" s="1695"/>
      <c r="S1" s="1736" t="str">
        <f>$A$1</f>
        <v>PART THREE - SOURCES OF FUNDS  -  2018-035 Peaks of Cartersville, Cartersville, Bartow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4547</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31" t="s">
        <v>3011</v>
      </c>
      <c r="C5" s="1559" t="s">
        <v>2426</v>
      </c>
      <c r="D5" s="305"/>
      <c r="H5" s="3431" t="s">
        <v>3014</v>
      </c>
      <c r="I5" s="1559" t="s">
        <v>1549</v>
      </c>
      <c r="L5" s="3431" t="s">
        <v>3014</v>
      </c>
      <c r="M5" s="305" t="s">
        <v>3917</v>
      </c>
      <c r="S5" s="3432"/>
      <c r="T5" s="3433"/>
    </row>
    <row r="6" spans="1:20" s="278" customFormat="1" ht="16.5" customHeight="1">
      <c r="A6" s="501"/>
      <c r="B6" s="3434" t="s">
        <v>3014</v>
      </c>
      <c r="C6" s="1559" t="s">
        <v>555</v>
      </c>
      <c r="D6" s="305"/>
      <c r="H6" s="3434" t="s">
        <v>3014</v>
      </c>
      <c r="I6" s="1559" t="s">
        <v>554</v>
      </c>
      <c r="L6" s="3434" t="s">
        <v>3014</v>
      </c>
      <c r="M6" s="1559" t="s">
        <v>2618</v>
      </c>
      <c r="S6" s="3435"/>
      <c r="T6" s="3436"/>
    </row>
    <row r="7" spans="1:20" s="278" customFormat="1" ht="16.5" customHeight="1">
      <c r="A7" s="305"/>
      <c r="B7" s="3434" t="s">
        <v>3014</v>
      </c>
      <c r="C7" s="1559" t="s">
        <v>3914</v>
      </c>
      <c r="F7" s="3437"/>
      <c r="G7" s="3438"/>
      <c r="H7" s="3434" t="s">
        <v>3014</v>
      </c>
      <c r="I7" s="1559" t="s">
        <v>3706</v>
      </c>
      <c r="L7" s="3434" t="s">
        <v>3011</v>
      </c>
      <c r="M7" s="1559" t="s">
        <v>2619</v>
      </c>
      <c r="S7" s="3435"/>
      <c r="T7" s="3436"/>
    </row>
    <row r="8" spans="1:20" s="278" customFormat="1" ht="16.5" customHeight="1">
      <c r="A8" s="501"/>
      <c r="B8" s="3434" t="s">
        <v>3014</v>
      </c>
      <c r="C8" s="1559" t="s">
        <v>1816</v>
      </c>
      <c r="D8" s="305"/>
      <c r="H8" s="3434" t="s">
        <v>3014</v>
      </c>
      <c r="I8" s="305" t="s">
        <v>2627</v>
      </c>
      <c r="L8" s="3434" t="s">
        <v>3014</v>
      </c>
      <c r="M8" s="310" t="s">
        <v>3711</v>
      </c>
      <c r="S8" s="3439"/>
      <c r="T8" s="3440"/>
    </row>
    <row r="9" spans="1:20" s="278" customFormat="1" ht="16.5" customHeight="1">
      <c r="A9" s="501"/>
      <c r="B9" s="3434" t="s">
        <v>3014</v>
      </c>
      <c r="C9" s="1559" t="s">
        <v>556</v>
      </c>
      <c r="H9" s="3434" t="s">
        <v>3014</v>
      </c>
      <c r="I9" s="305" t="s">
        <v>2625</v>
      </c>
      <c r="L9" s="3434" t="s">
        <v>3014</v>
      </c>
      <c r="M9" s="310" t="s">
        <v>2626</v>
      </c>
      <c r="S9" s="3432"/>
      <c r="T9" s="3433"/>
    </row>
    <row r="10" spans="1:20" s="278" customFormat="1" ht="16.5" customHeight="1">
      <c r="A10" s="501"/>
      <c r="B10" s="3434" t="s">
        <v>3014</v>
      </c>
      <c r="C10" s="310" t="s">
        <v>3915</v>
      </c>
      <c r="G10" s="649"/>
      <c r="H10" s="3434" t="s">
        <v>3014</v>
      </c>
      <c r="I10" s="305" t="s">
        <v>3746</v>
      </c>
      <c r="J10" s="1035"/>
      <c r="K10" s="1035"/>
      <c r="L10" s="3434" t="s">
        <v>3014</v>
      </c>
      <c r="M10" s="310" t="s">
        <v>3748</v>
      </c>
      <c r="O10" s="3441" t="s">
        <v>3900</v>
      </c>
      <c r="P10" s="3442"/>
      <c r="Q10" s="3443"/>
      <c r="S10" s="3435"/>
      <c r="T10" s="3436"/>
    </row>
    <row r="11" spans="1:20" s="278" customFormat="1" ht="16.5" customHeight="1">
      <c r="A11" s="501"/>
      <c r="B11" s="3434" t="s">
        <v>3014</v>
      </c>
      <c r="C11" s="1559" t="s">
        <v>3749</v>
      </c>
      <c r="D11" s="305"/>
      <c r="E11" s="3444"/>
      <c r="F11" s="3445"/>
      <c r="H11" s="3434" t="s">
        <v>3014</v>
      </c>
      <c r="I11" s="305" t="s">
        <v>3751</v>
      </c>
      <c r="L11" s="3446" t="s">
        <v>3014</v>
      </c>
      <c r="M11" s="305" t="s">
        <v>3645</v>
      </c>
      <c r="S11" s="3435"/>
      <c r="T11" s="3436"/>
    </row>
    <row r="12" spans="1:20" s="278" customFormat="1" ht="16.5" customHeight="1">
      <c r="A12" s="501"/>
      <c r="B12" s="3446" t="s">
        <v>3014</v>
      </c>
      <c r="C12" s="1559" t="s">
        <v>3750</v>
      </c>
      <c r="E12" s="3447"/>
      <c r="F12" s="3448"/>
      <c r="H12" s="3434" t="s">
        <v>3014</v>
      </c>
      <c r="I12" s="521" t="s">
        <v>2814</v>
      </c>
      <c r="J12" s="521"/>
      <c r="K12" s="521"/>
      <c r="L12" s="3449" t="s">
        <v>3014</v>
      </c>
      <c r="M12" s="3450" t="s">
        <v>3713</v>
      </c>
      <c r="N12" s="3451"/>
      <c r="O12" s="3451"/>
      <c r="P12" s="3451"/>
      <c r="Q12" s="3452"/>
      <c r="S12" s="3439"/>
      <c r="T12" s="3440"/>
    </row>
    <row r="13" spans="1:20" s="278" customFormat="1" ht="16.5" customHeight="1">
      <c r="A13" s="501"/>
      <c r="C13" s="278" t="s">
        <v>3747</v>
      </c>
      <c r="E13" s="3441" t="s">
        <v>3472</v>
      </c>
      <c r="F13" s="3442"/>
      <c r="G13" s="3443"/>
      <c r="H13" s="3446"/>
      <c r="I13" s="310" t="s">
        <v>3916</v>
      </c>
      <c r="J13" s="521"/>
      <c r="K13" s="521"/>
      <c r="M13" s="3453" t="s">
        <v>3724</v>
      </c>
      <c r="N13" s="3454"/>
      <c r="O13" s="3454"/>
      <c r="P13" s="3454"/>
      <c r="Q13" s="3455"/>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6" t="s">
        <v>4662</v>
      </c>
      <c r="I19" s="3457"/>
      <c r="J19" s="3457"/>
      <c r="K19" s="3458"/>
      <c r="L19" s="3358">
        <v>2500000</v>
      </c>
      <c r="M19" s="3359"/>
      <c r="N19" s="3459">
        <v>0.05</v>
      </c>
      <c r="O19" s="3460"/>
      <c r="P19" s="3461">
        <v>18</v>
      </c>
      <c r="Q19" s="3462"/>
      <c r="S19" s="3432"/>
      <c r="T19" s="3433"/>
    </row>
    <row r="20" spans="1:20" s="278" customFormat="1" ht="16.5" customHeight="1">
      <c r="A20" s="305"/>
      <c r="B20" s="1707" t="s">
        <v>1604</v>
      </c>
      <c r="C20" s="1708"/>
      <c r="D20" s="1708"/>
      <c r="E20" s="1570"/>
      <c r="F20" s="1570"/>
      <c r="G20" s="1570"/>
      <c r="H20" s="3463" t="s">
        <v>4661</v>
      </c>
      <c r="I20" s="3464"/>
      <c r="J20" s="3464"/>
      <c r="K20" s="3465"/>
      <c r="L20" s="3363">
        <v>5700000</v>
      </c>
      <c r="M20" s="3364"/>
      <c r="N20" s="3466">
        <v>0.06</v>
      </c>
      <c r="O20" s="3467"/>
      <c r="P20" s="3468">
        <v>18</v>
      </c>
      <c r="Q20" s="3469"/>
      <c r="S20" s="3435"/>
      <c r="T20" s="3436"/>
    </row>
    <row r="21" spans="1:20" s="278" customFormat="1" ht="16.5" customHeight="1">
      <c r="A21" s="305"/>
      <c r="B21" s="1733" t="s">
        <v>1605</v>
      </c>
      <c r="C21" s="1734"/>
      <c r="D21" s="1734"/>
      <c r="E21" s="1567"/>
      <c r="F21" s="1567"/>
      <c r="G21" s="1567"/>
      <c r="H21" s="3470"/>
      <c r="I21" s="3471"/>
      <c r="J21" s="3471"/>
      <c r="K21" s="3472"/>
      <c r="L21" s="3392"/>
      <c r="M21" s="3393"/>
      <c r="N21" s="3473"/>
      <c r="O21" s="3474"/>
      <c r="P21" s="3475"/>
      <c r="Q21" s="3476"/>
      <c r="S21" s="3435"/>
      <c r="T21" s="3436"/>
    </row>
    <row r="22" spans="1:20" s="278" customFormat="1" ht="16.5" customHeight="1">
      <c r="A22" s="305"/>
      <c r="B22" s="1725" t="s">
        <v>2231</v>
      </c>
      <c r="C22" s="1726"/>
      <c r="D22" s="1726"/>
      <c r="E22" s="1570"/>
      <c r="F22" s="1570"/>
      <c r="G22" s="1570"/>
      <c r="H22" s="3477"/>
      <c r="I22" s="3478"/>
      <c r="J22" s="3478"/>
      <c r="K22" s="3479"/>
      <c r="L22" s="3480"/>
      <c r="M22" s="3481"/>
      <c r="N22" s="1727"/>
      <c r="O22" s="1728"/>
      <c r="P22" s="1722"/>
      <c r="Q22" s="1722"/>
      <c r="S22" s="3435"/>
      <c r="T22" s="3436"/>
    </row>
    <row r="23" spans="1:20" s="278" customFormat="1" ht="16.5" customHeight="1">
      <c r="A23" s="305"/>
      <c r="B23" s="1707" t="s">
        <v>809</v>
      </c>
      <c r="C23" s="1708"/>
      <c r="D23" s="1708"/>
      <c r="E23" s="1570"/>
      <c r="H23" s="3463"/>
      <c r="I23" s="3464"/>
      <c r="J23" s="3464"/>
      <c r="K23" s="3465"/>
      <c r="L23" s="3363"/>
      <c r="M23" s="3364"/>
      <c r="N23" s="1727"/>
      <c r="O23" s="1728"/>
      <c r="P23" s="1722"/>
      <c r="Q23" s="1722"/>
      <c r="S23" s="3435"/>
      <c r="T23" s="3436"/>
    </row>
    <row r="24" spans="1:20" s="278" customFormat="1" ht="16.5" customHeight="1">
      <c r="A24" s="305"/>
      <c r="B24" s="1707" t="s">
        <v>647</v>
      </c>
      <c r="C24" s="1708"/>
      <c r="D24" s="1708"/>
      <c r="E24" s="1570"/>
      <c r="H24" s="3463"/>
      <c r="I24" s="3464"/>
      <c r="J24" s="3464"/>
      <c r="K24" s="3465"/>
      <c r="L24" s="3363"/>
      <c r="M24" s="3364"/>
      <c r="N24" s="1727"/>
      <c r="O24" s="1728"/>
      <c r="P24" s="1722"/>
      <c r="Q24" s="1722"/>
      <c r="S24" s="3435"/>
      <c r="T24" s="3436"/>
    </row>
    <row r="25" spans="1:20" s="278" customFormat="1" ht="16.5" customHeight="1">
      <c r="A25" s="305"/>
      <c r="B25" s="1707" t="s">
        <v>810</v>
      </c>
      <c r="C25" s="1708"/>
      <c r="D25" s="1708"/>
      <c r="E25" s="1570"/>
      <c r="H25" s="3463" t="s">
        <v>4562</v>
      </c>
      <c r="I25" s="3464"/>
      <c r="J25" s="3464"/>
      <c r="K25" s="3465"/>
      <c r="L25" s="3363">
        <v>2227709</v>
      </c>
      <c r="M25" s="3364"/>
      <c r="N25" s="305"/>
      <c r="O25" s="305"/>
      <c r="P25" s="305"/>
      <c r="Q25" s="305"/>
      <c r="S25" s="3439"/>
      <c r="T25" s="3440"/>
    </row>
    <row r="26" spans="1:20" s="278" customFormat="1" ht="16.5" customHeight="1">
      <c r="A26" s="305"/>
      <c r="B26" s="1707" t="s">
        <v>811</v>
      </c>
      <c r="C26" s="1708"/>
      <c r="D26" s="1708"/>
      <c r="E26" s="1570"/>
      <c r="H26" s="3463" t="s">
        <v>4562</v>
      </c>
      <c r="I26" s="3464"/>
      <c r="J26" s="3464"/>
      <c r="K26" s="3465"/>
      <c r="L26" s="3363">
        <v>968126.26578092016</v>
      </c>
      <c r="M26" s="3364"/>
      <c r="N26" s="305"/>
      <c r="Q26" s="305"/>
      <c r="S26" s="3432"/>
      <c r="T26" s="3433"/>
    </row>
    <row r="27" spans="1:20" s="278" customFormat="1" ht="16.5" customHeight="1">
      <c r="A27" s="305"/>
      <c r="B27" s="1569" t="s">
        <v>244</v>
      </c>
      <c r="C27" s="1570"/>
      <c r="D27" s="3482"/>
      <c r="E27" s="3482"/>
      <c r="F27" s="3482"/>
      <c r="G27" s="3482"/>
      <c r="H27" s="3463"/>
      <c r="I27" s="3464"/>
      <c r="J27" s="3464"/>
      <c r="K27" s="3465"/>
      <c r="L27" s="3363"/>
      <c r="M27" s="3364"/>
      <c r="N27" s="305"/>
      <c r="Q27" s="305"/>
      <c r="S27" s="3435"/>
      <c r="T27" s="3436"/>
    </row>
    <row r="28" spans="1:20" s="278" customFormat="1" ht="16.5" customHeight="1">
      <c r="A28" s="305"/>
      <c r="B28" s="1569" t="s">
        <v>244</v>
      </c>
      <c r="C28" s="1570"/>
      <c r="D28" s="3483"/>
      <c r="E28" s="3483"/>
      <c r="F28" s="3483"/>
      <c r="G28" s="3483"/>
      <c r="H28" s="3463"/>
      <c r="I28" s="3464"/>
      <c r="J28" s="3464"/>
      <c r="K28" s="3465"/>
      <c r="L28" s="3363"/>
      <c r="M28" s="3364"/>
      <c r="N28" s="305"/>
      <c r="S28" s="3435"/>
      <c r="T28" s="3436"/>
    </row>
    <row r="29" spans="1:20" s="278" customFormat="1" ht="16.5" customHeight="1">
      <c r="A29" s="305"/>
      <c r="B29" s="1566" t="s">
        <v>244</v>
      </c>
      <c r="C29" s="1567"/>
      <c r="D29" s="3484"/>
      <c r="E29" s="3484"/>
      <c r="F29" s="3484"/>
      <c r="G29" s="3484"/>
      <c r="H29" s="3470"/>
      <c r="I29" s="3471"/>
      <c r="J29" s="3471"/>
      <c r="K29" s="3472"/>
      <c r="L29" s="3392"/>
      <c r="M29" s="3393"/>
      <c r="N29" s="305"/>
      <c r="S29" s="3435"/>
      <c r="T29" s="3436"/>
    </row>
    <row r="30" spans="1:20" s="278" customFormat="1" ht="16.5" customHeight="1">
      <c r="A30" s="305"/>
      <c r="B30" s="277" t="s">
        <v>1310</v>
      </c>
      <c r="C30" s="305"/>
      <c r="D30" s="305"/>
      <c r="E30" s="305"/>
      <c r="F30" s="305"/>
      <c r="G30" s="305"/>
      <c r="H30" s="305"/>
      <c r="I30" s="305"/>
      <c r="L30" s="1729">
        <f>SUM(L19:L29)</f>
        <v>11395835.26578092</v>
      </c>
      <c r="M30" s="1730"/>
      <c r="N30" s="324"/>
      <c r="S30" s="3435"/>
      <c r="T30" s="3436"/>
    </row>
    <row r="31" spans="1:20" s="278" customFormat="1" ht="16.5" customHeight="1">
      <c r="A31" s="305"/>
      <c r="B31" s="1559" t="s">
        <v>1311</v>
      </c>
      <c r="C31" s="305"/>
      <c r="D31" s="305"/>
      <c r="E31" s="305"/>
      <c r="F31" s="305"/>
      <c r="G31" s="305"/>
      <c r="H31" s="305"/>
      <c r="I31" s="305"/>
      <c r="L31" s="34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11395835</v>
      </c>
      <c r="M31" s="3486"/>
      <c r="N31" s="900"/>
      <c r="S31" s="3435"/>
      <c r="T31" s="3436"/>
    </row>
    <row r="32" spans="1:20" s="278" customFormat="1" ht="16.5" customHeight="1">
      <c r="A32" s="305"/>
      <c r="B32" s="310" t="s">
        <v>2173</v>
      </c>
      <c r="C32" s="305"/>
      <c r="D32" s="305"/>
      <c r="E32" s="305"/>
      <c r="F32" s="305"/>
      <c r="G32" s="305"/>
      <c r="H32" s="305"/>
      <c r="I32" s="305"/>
      <c r="L32" s="1731">
        <f>L30-L31</f>
        <v>0.26578092016279697</v>
      </c>
      <c r="M32" s="1732"/>
      <c r="N32" s="900"/>
      <c r="S32" s="3439"/>
      <c r="T32" s="3440"/>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7"/>
      <c r="O36" s="3487"/>
      <c r="P36" s="1637" t="s">
        <v>75</v>
      </c>
      <c r="Q36" s="1637"/>
      <c r="S36" s="1724" t="s">
        <v>2700</v>
      </c>
      <c r="T36" s="1724"/>
    </row>
    <row r="37" spans="1:20" s="278" customFormat="1" ht="14.25" customHeight="1">
      <c r="A37" s="305"/>
      <c r="B37" s="1725" t="s">
        <v>2631</v>
      </c>
      <c r="C37" s="1726"/>
      <c r="D37" s="1726"/>
      <c r="E37" s="3456" t="s">
        <v>4662</v>
      </c>
      <c r="F37" s="3457"/>
      <c r="G37" s="3457"/>
      <c r="H37" s="3458"/>
      <c r="I37" s="3488">
        <v>2500000</v>
      </c>
      <c r="J37" s="3489"/>
      <c r="K37" s="3490">
        <v>5.5E-2</v>
      </c>
      <c r="L37" s="3431">
        <v>38</v>
      </c>
      <c r="M37" s="3431">
        <v>40</v>
      </c>
      <c r="N37" s="3491">
        <f t="shared" ref="N37:N41" si="0">IF(OR(I37&lt;=0,I37=""),"",IF(P37="Amortizing",-PMT(K37/12,M37*12,I37,0,0)*12,""))</f>
        <v>154731.08439713262</v>
      </c>
      <c r="O37" s="3491"/>
      <c r="P37" s="3492" t="s">
        <v>4663</v>
      </c>
      <c r="Q37" s="3492"/>
      <c r="S37" s="3432"/>
      <c r="T37" s="3433"/>
    </row>
    <row r="38" spans="1:20" s="278" customFormat="1" ht="14.25" customHeight="1">
      <c r="A38" s="305"/>
      <c r="B38" s="1707" t="s">
        <v>2632</v>
      </c>
      <c r="C38" s="1708"/>
      <c r="D38" s="1708"/>
      <c r="E38" s="3463"/>
      <c r="F38" s="3464"/>
      <c r="G38" s="3464"/>
      <c r="H38" s="3465"/>
      <c r="I38" s="3493"/>
      <c r="J38" s="3494"/>
      <c r="K38" s="3495"/>
      <c r="L38" s="3434"/>
      <c r="M38" s="3434"/>
      <c r="N38" s="3496" t="str">
        <f t="shared" si="0"/>
        <v/>
      </c>
      <c r="O38" s="3496"/>
      <c r="P38" s="3497"/>
      <c r="Q38" s="3497"/>
      <c r="S38" s="3435"/>
      <c r="T38" s="3436"/>
    </row>
    <row r="39" spans="1:20" s="278" customFormat="1" ht="14.25" customHeight="1">
      <c r="A39" s="305"/>
      <c r="B39" s="1707" t="s">
        <v>2633</v>
      </c>
      <c r="C39" s="1708"/>
      <c r="D39" s="1708"/>
      <c r="E39" s="3463"/>
      <c r="F39" s="3464"/>
      <c r="G39" s="3464"/>
      <c r="H39" s="3465"/>
      <c r="I39" s="3493"/>
      <c r="J39" s="3494"/>
      <c r="K39" s="3495"/>
      <c r="L39" s="3434"/>
      <c r="M39" s="3434"/>
      <c r="N39" s="3496" t="str">
        <f t="shared" si="0"/>
        <v/>
      </c>
      <c r="O39" s="3496"/>
      <c r="P39" s="3497"/>
      <c r="Q39" s="3497"/>
      <c r="S39" s="3435"/>
      <c r="T39" s="3436"/>
    </row>
    <row r="40" spans="1:20" s="278" customFormat="1" ht="14.25" customHeight="1">
      <c r="A40" s="305"/>
      <c r="B40" s="1569" t="s">
        <v>749</v>
      </c>
      <c r="C40" s="3498"/>
      <c r="D40" s="3499"/>
      <c r="E40" s="3463"/>
      <c r="F40" s="3464"/>
      <c r="G40" s="3464"/>
      <c r="H40" s="3465"/>
      <c r="I40" s="3493"/>
      <c r="J40" s="3494"/>
      <c r="K40" s="3500"/>
      <c r="L40" s="3446"/>
      <c r="M40" s="3446"/>
      <c r="N40" s="3501" t="str">
        <f t="shared" si="0"/>
        <v/>
      </c>
      <c r="O40" s="3501"/>
      <c r="P40" s="3502"/>
      <c r="Q40" s="3502"/>
      <c r="S40" s="3435"/>
      <c r="T40" s="3436"/>
    </row>
    <row r="41" spans="1:20" s="278" customFormat="1" ht="14.25" customHeight="1">
      <c r="A41" s="305"/>
      <c r="B41" s="1569" t="s">
        <v>2767</v>
      </c>
      <c r="C41" s="1570"/>
      <c r="D41" s="1575"/>
      <c r="E41" s="3463"/>
      <c r="F41" s="3464"/>
      <c r="G41" s="3464"/>
      <c r="H41" s="3465"/>
      <c r="I41" s="3493"/>
      <c r="J41" s="3494"/>
      <c r="K41" s="480"/>
      <c r="L41" s="1573"/>
      <c r="M41" s="1573"/>
      <c r="N41" s="1716" t="str">
        <f t="shared" si="0"/>
        <v/>
      </c>
      <c r="O41" s="1716"/>
      <c r="P41" s="1717"/>
      <c r="Q41" s="1717"/>
      <c r="S41" s="3435"/>
      <c r="T41" s="3436"/>
    </row>
    <row r="42" spans="1:20" s="278" customFormat="1" ht="14.25" customHeight="1">
      <c r="A42" s="305"/>
      <c r="B42" s="1566" t="s">
        <v>230</v>
      </c>
      <c r="C42" s="1567"/>
      <c r="D42" s="382">
        <f>IF(OR(I42="",I42=0,'Part IV-A-Uses of Funds'!$G$118="",'Part IV-A-Uses of Funds'!$G$118=0),"",I42/'Part IV-A-Uses of Funds'!$G$118)</f>
        <v>3.9299363057324838E-3</v>
      </c>
      <c r="E42" s="3470" t="s">
        <v>4571</v>
      </c>
      <c r="F42" s="3471"/>
      <c r="G42" s="3471"/>
      <c r="H42" s="3472"/>
      <c r="I42" s="3503">
        <v>6170</v>
      </c>
      <c r="J42" s="3504"/>
      <c r="K42" s="3505"/>
      <c r="L42" s="3449"/>
      <c r="M42" s="3449">
        <v>0</v>
      </c>
      <c r="N42" s="3506"/>
      <c r="O42" s="3507"/>
      <c r="P42" s="3508"/>
      <c r="Q42" s="3509"/>
      <c r="S42" s="3435"/>
      <c r="T42" s="3436"/>
    </row>
    <row r="43" spans="1:20" s="278" customFormat="1" ht="3" customHeight="1">
      <c r="A43" s="305"/>
      <c r="B43" s="305"/>
      <c r="C43" s="305"/>
      <c r="D43" s="305"/>
      <c r="E43" s="305"/>
      <c r="F43" s="305"/>
      <c r="G43" s="305"/>
      <c r="H43" s="305"/>
      <c r="I43" s="1616"/>
      <c r="J43" s="3510"/>
      <c r="K43" s="1615"/>
      <c r="L43" s="1571"/>
      <c r="M43" s="1571"/>
      <c r="N43" s="1617"/>
      <c r="O43" s="1617"/>
      <c r="P43" s="1571"/>
      <c r="Q43" s="1571"/>
      <c r="S43" s="3511"/>
      <c r="T43" s="3512"/>
    </row>
    <row r="44" spans="1:20" s="278" customFormat="1" ht="14.25" customHeight="1">
      <c r="A44" s="305"/>
      <c r="B44" s="1165" t="s">
        <v>4233</v>
      </c>
      <c r="C44" s="1570"/>
      <c r="E44" s="278" t="s">
        <v>4128</v>
      </c>
      <c r="F44" s="1714" t="e">
        <f>IF(OR($I$42="",$I$42=0,'Part VII-Pro Forma'!$S$33=0,'Part VII-Pro Forma'!$S$33=""),"",VLOOKUP($L$42,'Part VII-Pro Forma'!$Q$19:$S$38,3))</f>
        <v>#N/A</v>
      </c>
      <c r="G44" s="1715"/>
      <c r="H44" s="649" t="s">
        <v>4232</v>
      </c>
      <c r="I44" s="1720" t="e">
        <f>IF(OR($I$42="",$I$42=0,'Part VII-Pro Forma'!$R$33=0,'Part VII-Pro Forma'!$R$33=""),"",VLOOKUP($L$42,'Part VII-Pro Forma'!$Q$19:$S$33,2))</f>
        <v>#N/A</v>
      </c>
      <c r="J44" s="1721"/>
      <c r="K44" s="3513"/>
      <c r="L44" s="1571"/>
      <c r="M44" s="1571"/>
      <c r="N44" s="1617"/>
      <c r="O44" s="1617"/>
      <c r="P44" s="1571"/>
      <c r="Q44" s="1571"/>
      <c r="S44" s="3511"/>
      <c r="T44" s="3512"/>
    </row>
    <row r="45" spans="1:20" s="278" customFormat="1" ht="14.25" customHeight="1">
      <c r="A45" s="305"/>
      <c r="B45" s="1165" t="s">
        <v>4291</v>
      </c>
      <c r="C45" s="1570"/>
      <c r="D45" s="1166"/>
      <c r="F45" s="3514">
        <v>1</v>
      </c>
      <c r="G45" s="3515"/>
      <c r="H45" s="649" t="s">
        <v>4234</v>
      </c>
      <c r="I45" s="1718" t="e">
        <f>IF(OR($F$44 = 0,$F$44 =""),"",$I$44/$F$44)</f>
        <v>#N/A</v>
      </c>
      <c r="J45" s="1719"/>
      <c r="K45" s="1615"/>
      <c r="L45" s="1571"/>
      <c r="M45" s="1571"/>
      <c r="N45" s="1617"/>
      <c r="O45" s="1617"/>
      <c r="P45" s="1571"/>
      <c r="Q45" s="1571"/>
      <c r="S45" s="3511"/>
      <c r="T45" s="3512"/>
    </row>
    <row r="46" spans="1:20" s="278" customFormat="1" ht="3" customHeight="1">
      <c r="A46" s="305"/>
      <c r="B46" s="305"/>
      <c r="C46" s="305"/>
      <c r="D46" s="305"/>
      <c r="E46" s="305"/>
      <c r="F46" s="305"/>
      <c r="G46" s="305"/>
      <c r="H46" s="305"/>
      <c r="I46" s="3516"/>
      <c r="J46" s="3517"/>
      <c r="K46" s="1615"/>
      <c r="L46" s="1571"/>
      <c r="M46" s="1571"/>
      <c r="N46" s="1617"/>
      <c r="O46" s="1617"/>
      <c r="P46" s="1571"/>
      <c r="Q46" s="1571"/>
      <c r="S46" s="3511"/>
      <c r="T46" s="3512"/>
    </row>
    <row r="47" spans="1:20" s="278" customFormat="1" ht="14.25" customHeight="1">
      <c r="A47" s="305"/>
      <c r="B47" s="1704" t="s">
        <v>2231</v>
      </c>
      <c r="C47" s="1705"/>
      <c r="D47" s="1706"/>
      <c r="E47" s="3456"/>
      <c r="F47" s="3457"/>
      <c r="G47" s="3457"/>
      <c r="H47" s="3458"/>
      <c r="I47" s="3518"/>
      <c r="J47" s="3519"/>
      <c r="K47" s="383"/>
      <c r="L47" s="383"/>
      <c r="M47" s="383"/>
      <c r="N47" s="383"/>
      <c r="O47" s="383"/>
      <c r="P47" s="383"/>
      <c r="Q47" s="383"/>
      <c r="S47" s="3432"/>
      <c r="T47" s="3433"/>
    </row>
    <row r="48" spans="1:20" s="278" customFormat="1" ht="14.25" customHeight="1">
      <c r="A48" s="305"/>
      <c r="B48" s="1707" t="s">
        <v>809</v>
      </c>
      <c r="C48" s="1708"/>
      <c r="D48" s="1709"/>
      <c r="E48" s="3463"/>
      <c r="F48" s="3464"/>
      <c r="G48" s="3464"/>
      <c r="H48" s="3465"/>
      <c r="I48" s="3493"/>
      <c r="J48" s="3494"/>
      <c r="L48" s="1710" t="s">
        <v>522</v>
      </c>
      <c r="M48" s="1710"/>
      <c r="N48" s="1711" t="s">
        <v>523</v>
      </c>
      <c r="O48" s="1711"/>
      <c r="P48" s="413" t="s">
        <v>521</v>
      </c>
      <c r="Q48" s="383"/>
      <c r="S48" s="3435"/>
      <c r="T48" s="3436"/>
    </row>
    <row r="49" spans="1:23" s="278" customFormat="1" ht="14.25" customHeight="1">
      <c r="A49" s="305"/>
      <c r="B49" s="1707" t="s">
        <v>810</v>
      </c>
      <c r="C49" s="1708"/>
      <c r="D49" s="1709"/>
      <c r="E49" s="3463" t="s">
        <v>4562</v>
      </c>
      <c r="F49" s="3464"/>
      <c r="G49" s="3464"/>
      <c r="H49" s="3465"/>
      <c r="I49" s="3493">
        <v>7627986.5</v>
      </c>
      <c r="J49" s="3493"/>
      <c r="L49" s="1712">
        <f>'Part IV-A-Uses of Funds'!$J$175*10*'Part IV-A-Uses of Funds'!$N$168</f>
        <v>7628750</v>
      </c>
      <c r="M49" s="1712"/>
      <c r="N49" s="1713">
        <f>I49-L49</f>
        <v>-763.5</v>
      </c>
      <c r="O49" s="1713"/>
      <c r="P49" s="414" t="s">
        <v>2577</v>
      </c>
      <c r="Q49" s="383"/>
      <c r="S49" s="3435"/>
      <c r="T49" s="3436"/>
    </row>
    <row r="50" spans="1:23" s="278" customFormat="1" ht="14.25" customHeight="1">
      <c r="A50" s="305"/>
      <c r="B50" s="1707" t="s">
        <v>811</v>
      </c>
      <c r="C50" s="1708"/>
      <c r="D50" s="1709"/>
      <c r="E50" s="3463" t="s">
        <v>4562</v>
      </c>
      <c r="F50" s="3464"/>
      <c r="G50" s="3464"/>
      <c r="H50" s="3465"/>
      <c r="I50" s="3493">
        <v>3315000</v>
      </c>
      <c r="J50" s="3493"/>
      <c r="L50" s="1712">
        <f>'Part IV-A-Uses of Funds'!$J$175*10*'Part IV-A-Uses of Funds'!$Q$168</f>
        <v>3315000</v>
      </c>
      <c r="M50" s="1712"/>
      <c r="N50" s="1713">
        <f>I50-L50</f>
        <v>0</v>
      </c>
      <c r="O50" s="1713"/>
      <c r="P50" s="415">
        <f>I49/I59</f>
        <v>0.56716748603637468</v>
      </c>
      <c r="Q50" s="383"/>
      <c r="S50" s="3435"/>
      <c r="T50" s="3436"/>
    </row>
    <row r="51" spans="1:23" s="278" customFormat="1" ht="14.25" customHeight="1">
      <c r="A51" s="305"/>
      <c r="B51" s="1707" t="s">
        <v>1422</v>
      </c>
      <c r="C51" s="1708"/>
      <c r="D51" s="1709"/>
      <c r="E51" s="3463"/>
      <c r="F51" s="3464"/>
      <c r="G51" s="3464"/>
      <c r="H51" s="3465"/>
      <c r="I51" s="3493"/>
      <c r="J51" s="3493"/>
      <c r="P51" s="415">
        <f>I50/I59</f>
        <v>0.24648184894016029</v>
      </c>
      <c r="Q51" s="383"/>
      <c r="S51" s="3439"/>
      <c r="T51" s="3440"/>
    </row>
    <row r="52" spans="1:23" s="278" customFormat="1" ht="14.25" customHeight="1">
      <c r="A52" s="305"/>
      <c r="B52" s="1569" t="s">
        <v>536</v>
      </c>
      <c r="C52" s="1570"/>
      <c r="D52" s="1575"/>
      <c r="E52" s="3463"/>
      <c r="F52" s="3464"/>
      <c r="G52" s="3464"/>
      <c r="H52" s="3465"/>
      <c r="I52" s="3493"/>
      <c r="J52" s="3493"/>
      <c r="K52" s="305"/>
      <c r="P52" s="416">
        <f>SUM(P50:P51)</f>
        <v>0.81364933497653502</v>
      </c>
      <c r="Q52" s="383"/>
      <c r="S52" s="3435"/>
      <c r="T52" s="3436"/>
    </row>
    <row r="53" spans="1:23" s="278" customFormat="1" ht="14.25" customHeight="1">
      <c r="A53" s="305"/>
      <c r="B53" s="1569" t="s">
        <v>1883</v>
      </c>
      <c r="C53" s="1570"/>
      <c r="D53" s="1575"/>
      <c r="E53" s="3463"/>
      <c r="F53" s="3464"/>
      <c r="G53" s="3464"/>
      <c r="H53" s="3465"/>
      <c r="I53" s="3493"/>
      <c r="J53" s="3493"/>
      <c r="N53" s="384"/>
      <c r="O53" s="384"/>
      <c r="P53" s="384"/>
      <c r="Q53" s="383"/>
      <c r="S53" s="3435"/>
      <c r="T53" s="3436"/>
    </row>
    <row r="54" spans="1:23" s="278" customFormat="1" ht="14.25" customHeight="1">
      <c r="A54" s="305"/>
      <c r="B54" s="1569" t="s">
        <v>1884</v>
      </c>
      <c r="C54" s="1570"/>
      <c r="D54" s="1575"/>
      <c r="E54" s="3463"/>
      <c r="F54" s="3464"/>
      <c r="G54" s="3464"/>
      <c r="H54" s="3465"/>
      <c r="I54" s="3493"/>
      <c r="J54" s="3493"/>
      <c r="M54" s="384"/>
      <c r="N54" s="384"/>
      <c r="O54" s="384"/>
      <c r="P54" s="384"/>
      <c r="Q54" s="383"/>
      <c r="S54" s="3435"/>
      <c r="T54" s="3436"/>
    </row>
    <row r="55" spans="1:23" s="278" customFormat="1" ht="14.25" customHeight="1">
      <c r="A55" s="305"/>
      <c r="B55" s="1569" t="s">
        <v>749</v>
      </c>
      <c r="C55" s="3482" t="s">
        <v>4734</v>
      </c>
      <c r="D55" s="3482"/>
      <c r="E55" s="3463" t="s">
        <v>4559</v>
      </c>
      <c r="F55" s="3464"/>
      <c r="G55" s="3464"/>
      <c r="H55" s="3465"/>
      <c r="I55" s="3493">
        <v>110</v>
      </c>
      <c r="J55" s="3493"/>
      <c r="M55" s="384"/>
      <c r="N55" s="384"/>
      <c r="O55" s="384"/>
      <c r="P55" s="384"/>
      <c r="Q55" s="383"/>
      <c r="S55" s="3435"/>
      <c r="T55" s="3436"/>
    </row>
    <row r="56" spans="1:23" s="278" customFormat="1" ht="14.25" customHeight="1">
      <c r="A56" s="305"/>
      <c r="B56" s="1569" t="s">
        <v>749</v>
      </c>
      <c r="C56" s="3483"/>
      <c r="D56" s="3483"/>
      <c r="E56" s="3463"/>
      <c r="F56" s="3464"/>
      <c r="G56" s="3464"/>
      <c r="H56" s="3465"/>
      <c r="I56" s="3493"/>
      <c r="J56" s="3493"/>
      <c r="K56" s="305"/>
      <c r="L56" s="385"/>
      <c r="M56" s="384"/>
      <c r="N56" s="384"/>
      <c r="O56" s="384"/>
      <c r="P56" s="384"/>
      <c r="Q56" s="383"/>
      <c r="S56" s="3435"/>
      <c r="T56" s="3436"/>
    </row>
    <row r="57" spans="1:23" s="278" customFormat="1" ht="14.25" customHeight="1">
      <c r="A57" s="305"/>
      <c r="B57" s="1566" t="s">
        <v>749</v>
      </c>
      <c r="C57" s="3484"/>
      <c r="D57" s="3484"/>
      <c r="E57" s="3470"/>
      <c r="F57" s="3471"/>
      <c r="G57" s="3471"/>
      <c r="H57" s="3472"/>
      <c r="I57" s="3520"/>
      <c r="J57" s="3520"/>
      <c r="K57" s="305"/>
      <c r="L57" s="385"/>
      <c r="M57" s="384"/>
      <c r="N57" s="384"/>
      <c r="O57" s="384"/>
      <c r="P57" s="384"/>
      <c r="Q57" s="383"/>
      <c r="S57" s="3435"/>
      <c r="T57" s="3436"/>
    </row>
    <row r="58" spans="1:23" s="278" customFormat="1" ht="14.25" customHeight="1">
      <c r="A58" s="305"/>
      <c r="B58" s="1559" t="s">
        <v>2232</v>
      </c>
      <c r="C58" s="305"/>
      <c r="D58" s="305"/>
      <c r="E58" s="305"/>
      <c r="F58" s="305"/>
      <c r="G58" s="305"/>
      <c r="I58" s="1698">
        <f>SUM(I37:J42)+SUM(I47:J57)</f>
        <v>13449266.5</v>
      </c>
      <c r="J58" s="1699"/>
      <c r="K58" s="305"/>
      <c r="L58" s="385"/>
      <c r="M58" s="384"/>
      <c r="N58" s="384"/>
      <c r="O58" s="384"/>
      <c r="P58" s="384"/>
      <c r="Q58" s="383"/>
      <c r="S58" s="3435"/>
      <c r="T58" s="3436"/>
    </row>
    <row r="59" spans="1:23" s="278" customFormat="1" ht="14.25" customHeight="1" thickBot="1">
      <c r="A59" s="305"/>
      <c r="B59" s="1559" t="s">
        <v>2233</v>
      </c>
      <c r="C59" s="305"/>
      <c r="D59" s="305"/>
      <c r="E59" s="305"/>
      <c r="F59" s="305"/>
      <c r="G59" s="305"/>
      <c r="I59" s="1700">
        <f>'Part IV-A-Uses of Funds'!$G$132</f>
        <v>13449266.200550128</v>
      </c>
      <c r="J59" s="1701"/>
      <c r="K59" s="305"/>
      <c r="L59" s="385"/>
      <c r="M59" s="384"/>
      <c r="N59" s="384"/>
      <c r="O59" s="384"/>
      <c r="P59" s="384"/>
      <c r="Q59" s="383"/>
      <c r="S59" s="3435"/>
      <c r="T59" s="3436"/>
    </row>
    <row r="60" spans="1:23" s="278" customFormat="1" ht="14.25" customHeight="1" thickBot="1">
      <c r="A60" s="305"/>
      <c r="B60" s="310" t="s">
        <v>1537</v>
      </c>
      <c r="C60" s="305"/>
      <c r="D60" s="305"/>
      <c r="E60" s="305"/>
      <c r="F60" s="305"/>
      <c r="G60" s="305"/>
      <c r="I60" s="1702">
        <f>I58-I59</f>
        <v>0.29944987222552299</v>
      </c>
      <c r="J60" s="1703"/>
      <c r="K60" s="305"/>
      <c r="L60" s="385"/>
      <c r="M60" s="384"/>
      <c r="N60" s="384"/>
      <c r="O60" s="384"/>
      <c r="P60" s="384"/>
      <c r="Q60" s="383"/>
      <c r="S60" s="3439"/>
      <c r="T60" s="3440"/>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8" t="s">
        <v>4749</v>
      </c>
      <c r="B64" s="3318"/>
      <c r="C64" s="3318"/>
      <c r="D64" s="3318"/>
      <c r="E64" s="3318"/>
      <c r="F64" s="3318"/>
      <c r="G64" s="3318"/>
      <c r="H64" s="3318"/>
      <c r="I64" s="3318"/>
      <c r="J64" s="3318"/>
      <c r="K64" s="3318"/>
      <c r="L64" s="3318"/>
      <c r="M64" s="3319"/>
      <c r="N64" s="3319"/>
      <c r="O64" s="3319"/>
      <c r="P64" s="3319"/>
      <c r="Q64" s="3319"/>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e2voJhBMsjLELZwZerYL1O76LtJrwCqCst2U0usqvclBuIEyOU4lS8G48SLl18BYxwOy1BDcM9Atl1rs6l7dwQ==" saltValue="2bwy3pf3hgLyn8J5/xMv5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5" zoomScale="120" zoomScaleNormal="12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2018-035 Peaks of Cartersville, Cartersville, Bartow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2018-035 Peaks of Cartersville, Cartersville, Bartow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8">
        <v>8000</v>
      </c>
      <c r="H8" s="3359"/>
      <c r="J8" s="3358">
        <v>8000</v>
      </c>
      <c r="K8" s="3359"/>
      <c r="L8" s="1580"/>
      <c r="M8" s="3358"/>
      <c r="N8" s="3359"/>
      <c r="P8" s="3358"/>
      <c r="Q8" s="3359"/>
      <c r="S8" s="3358"/>
      <c r="T8" s="3359"/>
      <c r="V8" s="3360"/>
      <c r="W8" s="3361"/>
      <c r="X8" s="3362"/>
    </row>
    <row r="9" spans="1:24" s="305" customFormat="1" ht="12.6" customHeight="1">
      <c r="B9" s="305" t="s">
        <v>461</v>
      </c>
      <c r="G9" s="3363">
        <v>11100</v>
      </c>
      <c r="H9" s="3364"/>
      <c r="J9" s="3363">
        <v>11100</v>
      </c>
      <c r="K9" s="3364"/>
      <c r="L9" s="1580"/>
      <c r="M9" s="3363"/>
      <c r="N9" s="3364"/>
      <c r="P9" s="3363"/>
      <c r="Q9" s="3364"/>
      <c r="S9" s="3363"/>
      <c r="T9" s="3364"/>
      <c r="V9" s="3360"/>
      <c r="W9" s="3361"/>
      <c r="X9" s="3362"/>
    </row>
    <row r="10" spans="1:24" s="305" customFormat="1" ht="12.6" customHeight="1">
      <c r="B10" s="305" t="s">
        <v>491</v>
      </c>
      <c r="G10" s="3363">
        <v>23300</v>
      </c>
      <c r="H10" s="3364"/>
      <c r="J10" s="3363">
        <v>23300</v>
      </c>
      <c r="K10" s="3364"/>
      <c r="L10" s="1580"/>
      <c r="M10" s="3363"/>
      <c r="N10" s="3364"/>
      <c r="P10" s="3363"/>
      <c r="Q10" s="3364"/>
      <c r="S10" s="3363"/>
      <c r="T10" s="3364"/>
      <c r="V10" s="3360"/>
      <c r="W10" s="3361"/>
      <c r="X10" s="3362"/>
    </row>
    <row r="11" spans="1:24" s="305" customFormat="1" ht="12.6" customHeight="1">
      <c r="B11" s="305" t="s">
        <v>492</v>
      </c>
      <c r="G11" s="3363">
        <v>10000</v>
      </c>
      <c r="H11" s="3364"/>
      <c r="J11" s="3363">
        <v>10000</v>
      </c>
      <c r="K11" s="3364"/>
      <c r="L11" s="1580"/>
      <c r="M11" s="3363"/>
      <c r="N11" s="3364"/>
      <c r="P11" s="3363"/>
      <c r="Q11" s="3364"/>
      <c r="S11" s="3363"/>
      <c r="T11" s="3364"/>
      <c r="V11" s="3360"/>
      <c r="W11" s="3361"/>
      <c r="X11" s="3362"/>
    </row>
    <row r="12" spans="1:24" s="305" customFormat="1" ht="12.6" customHeight="1">
      <c r="B12" s="305" t="s">
        <v>2516</v>
      </c>
      <c r="G12" s="3363">
        <v>18300</v>
      </c>
      <c r="H12" s="3364"/>
      <c r="J12" s="3363">
        <v>18300</v>
      </c>
      <c r="K12" s="3364"/>
      <c r="L12" s="1580"/>
      <c r="M12" s="3363"/>
      <c r="N12" s="3364"/>
      <c r="P12" s="3363"/>
      <c r="Q12" s="3364"/>
      <c r="S12" s="3363"/>
      <c r="T12" s="3364"/>
      <c r="V12" s="3360"/>
      <c r="W12" s="3361"/>
      <c r="X12" s="3362"/>
    </row>
    <row r="13" spans="1:24" s="305" customFormat="1" ht="12.6" customHeight="1">
      <c r="B13" s="305" t="s">
        <v>192</v>
      </c>
      <c r="G13" s="3363">
        <v>2000</v>
      </c>
      <c r="H13" s="3364"/>
      <c r="J13" s="3363">
        <v>2000</v>
      </c>
      <c r="K13" s="3364"/>
      <c r="L13" s="1580"/>
      <c r="M13" s="3363"/>
      <c r="N13" s="3364"/>
      <c r="P13" s="3363"/>
      <c r="Q13" s="3364"/>
      <c r="S13" s="3363"/>
      <c r="T13" s="3364"/>
      <c r="V13" s="3360"/>
      <c r="W13" s="3361"/>
      <c r="X13" s="3362"/>
    </row>
    <row r="14" spans="1:24" s="305" customFormat="1" ht="12.6" customHeight="1">
      <c r="A14" s="387" t="str">
        <f>IF(AND(G14&gt;0,OR(C14="",C14="&lt;Enter detailed description here; use Comments section if needed&gt;")),"X","")</f>
        <v/>
      </c>
      <c r="B14" s="305" t="s">
        <v>749</v>
      </c>
      <c r="C14" s="3365" t="s">
        <v>4665</v>
      </c>
      <c r="D14" s="3365"/>
      <c r="E14" s="3365"/>
      <c r="F14" s="3366"/>
      <c r="G14" s="3363">
        <v>9000</v>
      </c>
      <c r="H14" s="3364"/>
      <c r="J14" s="3363">
        <v>9000</v>
      </c>
      <c r="K14" s="3364"/>
      <c r="L14" s="1580"/>
      <c r="M14" s="3363"/>
      <c r="N14" s="3364"/>
      <c r="P14" s="3363"/>
      <c r="Q14" s="3364"/>
      <c r="S14" s="3363"/>
      <c r="T14" s="3364"/>
      <c r="U14" s="386" t="str">
        <f>IF(AND(G14&gt;0,OR(C14="",C14="&lt;Enter detailed description here; use Comments section if needed&gt;")),"NO DESCRIPTION PROVIDED - please enter detailed description in Other box at left; use Comments section below if needed.","")</f>
        <v/>
      </c>
      <c r="V14" s="3367"/>
      <c r="W14" s="3361"/>
      <c r="X14" s="3362"/>
    </row>
    <row r="15" spans="1:24" s="305" customFormat="1" ht="12.6" customHeight="1">
      <c r="A15" s="387" t="str">
        <f>IF(AND(G15&gt;0,OR(C15="",C15="&lt;Enter detailed description here; use Comments section if needed&gt;")),"X","")</f>
        <v/>
      </c>
      <c r="B15" s="305" t="s">
        <v>749</v>
      </c>
      <c r="C15" s="3365" t="s">
        <v>4664</v>
      </c>
      <c r="D15" s="3365"/>
      <c r="E15" s="3365"/>
      <c r="F15" s="3366"/>
      <c r="G15" s="3363">
        <v>5500</v>
      </c>
      <c r="H15" s="3364"/>
      <c r="J15" s="3363">
        <v>5500</v>
      </c>
      <c r="K15" s="3364"/>
      <c r="L15" s="1580"/>
      <c r="M15" s="3363"/>
      <c r="N15" s="3364"/>
      <c r="P15" s="3363"/>
      <c r="Q15" s="3364"/>
      <c r="S15" s="3363"/>
      <c r="T15" s="3364"/>
      <c r="U15" s="386" t="str">
        <f>IF(AND(G15&gt;0,OR(C15="",C15="&lt;Enter detailed description here; use Comments section if needed&gt;")),"NO DESCRIPTION PROVIDED - please enter detailed description in Other box at left; use Comments section below if needed.","")</f>
        <v/>
      </c>
      <c r="V15" s="3367"/>
      <c r="W15" s="3361"/>
      <c r="X15" s="3362"/>
    </row>
    <row r="16" spans="1:24" s="305" customFormat="1" ht="12.6" customHeight="1" thickBot="1">
      <c r="A16" s="387" t="str">
        <f>IF(AND(G16&gt;0,OR(C16="",C16="&lt;Enter detailed description here; use Comments section if needed&gt;")),"X","")</f>
        <v/>
      </c>
      <c r="B16" s="305" t="s">
        <v>749</v>
      </c>
      <c r="C16" s="3365"/>
      <c r="D16" s="3365"/>
      <c r="E16" s="3365"/>
      <c r="F16" s="3366"/>
      <c r="G16" s="3368"/>
      <c r="H16" s="3369"/>
      <c r="J16" s="3368"/>
      <c r="K16" s="3369"/>
      <c r="L16" s="1580"/>
      <c r="M16" s="3368"/>
      <c r="N16" s="3369"/>
      <c r="P16" s="3368"/>
      <c r="Q16" s="3369"/>
      <c r="S16" s="3368"/>
      <c r="T16" s="3369"/>
      <c r="U16" s="386" t="str">
        <f>IF(AND(G16&gt;0,OR(C16="",C16="&lt;Enter detailed description here; use Comments section if needed&gt;")),"NO DESCRIPTION PROVIDED - please enter detailed description in Other box at left; use Comments section below if needed.","")</f>
        <v/>
      </c>
      <c r="V16" s="3367"/>
      <c r="W16" s="3370"/>
      <c r="X16" s="3371"/>
    </row>
    <row r="17" spans="2:24" s="305" customFormat="1" ht="12.6" customHeight="1" thickTop="1">
      <c r="F17" s="361" t="s">
        <v>193</v>
      </c>
      <c r="G17" s="1800">
        <f>SUM(G8:H16)</f>
        <v>87200</v>
      </c>
      <c r="H17" s="1801"/>
      <c r="J17" s="1800">
        <f>SUM(J8:K16)</f>
        <v>87200</v>
      </c>
      <c r="K17" s="1826"/>
      <c r="L17" s="1580"/>
      <c r="M17" s="1800">
        <f>SUM(M8:N16)</f>
        <v>0</v>
      </c>
      <c r="N17" s="1801"/>
      <c r="P17" s="1800">
        <f>SUM(P8:Q16)</f>
        <v>0</v>
      </c>
      <c r="Q17" s="1801"/>
      <c r="S17" s="1800">
        <f>SUM(S8:T16)</f>
        <v>0</v>
      </c>
      <c r="T17" s="1801"/>
      <c r="V17" s="3372">
        <f>SUM(V8:V16)</f>
        <v>0</v>
      </c>
      <c r="W17" s="3373"/>
      <c r="X17" s="3374"/>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8">
        <v>991000</v>
      </c>
      <c r="H19" s="3359"/>
      <c r="J19" s="363"/>
      <c r="K19" s="360"/>
      <c r="L19" s="363"/>
      <c r="M19" s="363"/>
      <c r="N19" s="360"/>
      <c r="P19" s="363"/>
      <c r="Q19" s="360"/>
      <c r="S19" s="3358">
        <v>991000</v>
      </c>
      <c r="T19" s="3359"/>
      <c r="V19" s="3360"/>
      <c r="W19" s="3361"/>
      <c r="X19" s="3362"/>
    </row>
    <row r="20" spans="2:24" s="305" customFormat="1" ht="12.6" customHeight="1">
      <c r="B20" s="305" t="s">
        <v>1129</v>
      </c>
      <c r="G20" s="3363">
        <v>25000</v>
      </c>
      <c r="H20" s="3364"/>
      <c r="J20" s="363"/>
      <c r="K20" s="360"/>
      <c r="L20" s="363"/>
      <c r="M20" s="363"/>
      <c r="N20" s="360"/>
      <c r="P20" s="363"/>
      <c r="Q20" s="360"/>
      <c r="S20" s="3363">
        <v>25000</v>
      </c>
      <c r="T20" s="3364"/>
      <c r="V20" s="3360"/>
      <c r="W20" s="3361"/>
      <c r="X20" s="3362"/>
    </row>
    <row r="21" spans="2:24" s="305" customFormat="1" ht="12.6" customHeight="1">
      <c r="B21" s="305" t="s">
        <v>462</v>
      </c>
      <c r="G21" s="3363"/>
      <c r="H21" s="3364"/>
      <c r="J21" s="363"/>
      <c r="K21" s="360"/>
      <c r="L21" s="363"/>
      <c r="M21" s="3358"/>
      <c r="N21" s="3359"/>
      <c r="P21" s="363"/>
      <c r="Q21" s="360"/>
      <c r="S21" s="3363"/>
      <c r="T21" s="3364"/>
      <c r="V21" s="3360"/>
      <c r="W21" s="3361"/>
      <c r="X21" s="3362"/>
    </row>
    <row r="22" spans="2:24" s="305" customFormat="1" ht="12.6" customHeight="1" thickBot="1">
      <c r="B22" s="305" t="s">
        <v>432</v>
      </c>
      <c r="G22" s="3368"/>
      <c r="H22" s="3369"/>
      <c r="J22" s="363"/>
      <c r="K22" s="360"/>
      <c r="L22" s="363"/>
      <c r="M22" s="3368"/>
      <c r="N22" s="3369"/>
      <c r="P22" s="363"/>
      <c r="Q22" s="360"/>
      <c r="S22" s="3368"/>
      <c r="T22" s="3369"/>
      <c r="V22" s="3360"/>
      <c r="W22" s="3370"/>
      <c r="X22" s="3371"/>
    </row>
    <row r="23" spans="2:24" s="305" customFormat="1" ht="12.6" customHeight="1" thickTop="1">
      <c r="F23" s="361" t="s">
        <v>193</v>
      </c>
      <c r="G23" s="1800">
        <f>SUM(G19:H22)</f>
        <v>1016000</v>
      </c>
      <c r="H23" s="1801"/>
      <c r="J23" s="363"/>
      <c r="K23" s="360"/>
      <c r="L23" s="363"/>
      <c r="M23" s="1800">
        <f>SUM(M21:N22)</f>
        <v>0</v>
      </c>
      <c r="N23" s="1801"/>
      <c r="P23" s="363"/>
      <c r="Q23" s="360"/>
      <c r="S23" s="1800">
        <f>SUM(S19:T22)</f>
        <v>1016000</v>
      </c>
      <c r="T23" s="1801"/>
      <c r="V23" s="3372">
        <f>SUM(V19:V22)</f>
        <v>0</v>
      </c>
      <c r="W23" s="3373"/>
      <c r="X23" s="3374"/>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206130.57541709227</v>
      </c>
      <c r="G25" s="3358">
        <v>1210811</v>
      </c>
      <c r="H25" s="3359"/>
      <c r="J25" s="3358">
        <v>1089730</v>
      </c>
      <c r="K25" s="3359"/>
      <c r="L25" s="1580"/>
      <c r="M25" s="3375"/>
      <c r="N25" s="3376"/>
      <c r="P25" s="3375"/>
      <c r="Q25" s="3376"/>
      <c r="S25" s="3358">
        <v>121081</v>
      </c>
      <c r="T25" s="3359"/>
      <c r="V25" s="3360"/>
      <c r="W25" s="3361"/>
      <c r="X25" s="3362"/>
    </row>
    <row r="26" spans="2:24" s="305" customFormat="1" ht="12.6" customHeight="1" thickBot="1">
      <c r="B26" s="305" t="s">
        <v>1132</v>
      </c>
      <c r="G26" s="3368"/>
      <c r="H26" s="3369"/>
      <c r="J26" s="3368"/>
      <c r="K26" s="3369"/>
      <c r="L26" s="364"/>
      <c r="M26" s="1825"/>
      <c r="N26" s="1825"/>
      <c r="P26" s="1825"/>
      <c r="Q26" s="1825"/>
      <c r="S26" s="3368"/>
      <c r="T26" s="3369"/>
      <c r="V26" s="3360"/>
      <c r="W26" s="3370"/>
      <c r="X26" s="3371"/>
    </row>
    <row r="27" spans="2:24" s="305" customFormat="1" ht="12.6" customHeight="1" thickTop="1">
      <c r="F27" s="361" t="s">
        <v>193</v>
      </c>
      <c r="G27" s="1800">
        <f>SUM(G25:H26)</f>
        <v>1210811</v>
      </c>
      <c r="H27" s="1801"/>
      <c r="J27" s="1800">
        <f>SUM(J25:K26)</f>
        <v>1089730</v>
      </c>
      <c r="K27" s="1801"/>
      <c r="L27" s="363"/>
      <c r="M27" s="1800">
        <f>M25</f>
        <v>0</v>
      </c>
      <c r="N27" s="1801"/>
      <c r="P27" s="1800">
        <f>P25</f>
        <v>0</v>
      </c>
      <c r="Q27" s="1801"/>
      <c r="S27" s="1800">
        <f>SUM(S25:T26)</f>
        <v>121081</v>
      </c>
      <c r="T27" s="1801"/>
      <c r="V27" s="3372">
        <f>SUM(V25:V26)</f>
        <v>0</v>
      </c>
      <c r="W27" s="3373"/>
      <c r="X27" s="3374"/>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8">
        <v>5885000</v>
      </c>
      <c r="H29" s="3359"/>
      <c r="J29" s="3358">
        <v>5885000</v>
      </c>
      <c r="K29" s="3359"/>
      <c r="L29" s="1580"/>
      <c r="M29" s="3358"/>
      <c r="N29" s="3359"/>
      <c r="P29" s="3358"/>
      <c r="Q29" s="3359"/>
      <c r="S29" s="3358"/>
      <c r="T29" s="3359"/>
      <c r="V29" s="3360"/>
      <c r="W29" s="3361"/>
      <c r="X29" s="3362"/>
    </row>
    <row r="30" spans="2:24" s="305" customFormat="1" ht="12.6" customHeight="1">
      <c r="B30" s="305" t="s">
        <v>1135</v>
      </c>
      <c r="G30" s="3363"/>
      <c r="H30" s="3364"/>
      <c r="J30" s="3363"/>
      <c r="K30" s="3364"/>
      <c r="L30" s="1580"/>
      <c r="M30" s="3363"/>
      <c r="N30" s="3364"/>
      <c r="P30" s="3363"/>
      <c r="Q30" s="3364"/>
      <c r="S30" s="3363"/>
      <c r="T30" s="3364"/>
      <c r="V30" s="3360"/>
      <c r="W30" s="3361"/>
      <c r="X30" s="3362"/>
    </row>
    <row r="31" spans="2:24" s="305" customFormat="1" ht="12.6" customHeight="1">
      <c r="B31" s="305" t="s">
        <v>2798</v>
      </c>
      <c r="G31" s="3363">
        <v>225000</v>
      </c>
      <c r="H31" s="3364"/>
      <c r="J31" s="3363">
        <v>225000</v>
      </c>
      <c r="K31" s="3364"/>
      <c r="L31" s="1580"/>
      <c r="M31" s="3363"/>
      <c r="N31" s="3364"/>
      <c r="P31" s="3363"/>
      <c r="Q31" s="3364"/>
      <c r="S31" s="3363"/>
      <c r="T31" s="3364"/>
      <c r="V31" s="3360"/>
      <c r="W31" s="3361"/>
      <c r="X31" s="3362"/>
    </row>
    <row r="32" spans="2:24" ht="12.6" customHeight="1" thickBot="1">
      <c r="B32" s="305" t="s">
        <v>2797</v>
      </c>
      <c r="G32" s="3368"/>
      <c r="H32" s="3369"/>
      <c r="I32" s="305"/>
      <c r="J32" s="3368"/>
      <c r="K32" s="3369"/>
      <c r="L32" s="1580"/>
      <c r="M32" s="3368"/>
      <c r="N32" s="3369"/>
      <c r="O32" s="305"/>
      <c r="P32" s="3368"/>
      <c r="Q32" s="3369"/>
      <c r="R32" s="305"/>
      <c r="S32" s="3368"/>
      <c r="T32" s="3369"/>
      <c r="V32" s="3360"/>
      <c r="W32" s="3370"/>
      <c r="X32" s="3371"/>
    </row>
    <row r="33" spans="1:24" s="305" customFormat="1" ht="12.6" customHeight="1" thickTop="1">
      <c r="C33" s="1824"/>
      <c r="D33" s="1824"/>
      <c r="E33" s="1576"/>
      <c r="F33" s="361" t="s">
        <v>193</v>
      </c>
      <c r="G33" s="1800">
        <f>SUM(G29:H32)</f>
        <v>6110000</v>
      </c>
      <c r="H33" s="1801"/>
      <c r="J33" s="1800">
        <f>SUM(J29:K32)</f>
        <v>6110000</v>
      </c>
      <c r="K33" s="1801"/>
      <c r="L33" s="1580"/>
      <c r="M33" s="1800">
        <f>SUM(M29:N32)</f>
        <v>0</v>
      </c>
      <c r="N33" s="1801"/>
      <c r="P33" s="1800">
        <f>SUM(P29:Q32)</f>
        <v>0</v>
      </c>
      <c r="Q33" s="1801"/>
      <c r="S33" s="1800">
        <f>SUM(S29:T32)</f>
        <v>0</v>
      </c>
      <c r="T33" s="1801"/>
      <c r="V33" s="3372">
        <f>SUM(V29:V32)</f>
        <v>0</v>
      </c>
      <c r="W33" s="3373"/>
      <c r="X33" s="3374"/>
    </row>
    <row r="34" spans="1:24" s="305" customFormat="1" ht="12" customHeight="1">
      <c r="B34" s="307" t="s">
        <v>2359</v>
      </c>
      <c r="D34" s="1823" t="s">
        <v>3758</v>
      </c>
      <c r="E34" s="1823"/>
      <c r="F34" s="1044">
        <f>SUM(F35:F37)</f>
        <v>0.13999992623768048</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439248.66</v>
      </c>
      <c r="F35" s="1045">
        <f>IF(($G$27+$G$33)=0,0,G35/($G$27+$G$33))</f>
        <v>5.9999978144497923E-2</v>
      </c>
      <c r="G35" s="3358">
        <v>439248.5</v>
      </c>
      <c r="H35" s="3359"/>
      <c r="I35" s="324"/>
      <c r="J35" s="3358">
        <v>439248.5</v>
      </c>
      <c r="K35" s="3359"/>
      <c r="L35" s="1580"/>
      <c r="M35" s="3358"/>
      <c r="N35" s="3359"/>
      <c r="P35" s="3358"/>
      <c r="Q35" s="3359"/>
      <c r="S35" s="3358"/>
      <c r="T35" s="3359"/>
      <c r="V35" s="3360"/>
      <c r="W35" s="3361"/>
      <c r="X35" s="3362"/>
    </row>
    <row r="36" spans="1:24" s="305" customFormat="1" ht="12.6" customHeight="1">
      <c r="B36" s="305" t="s">
        <v>2754</v>
      </c>
      <c r="D36" s="1047">
        <f>'DCA Underwriting Assumptions'!$R$75</f>
        <v>0.02</v>
      </c>
      <c r="E36" s="1048">
        <f>D36*(G27+G33)</f>
        <v>146416.22</v>
      </c>
      <c r="F36" s="1045">
        <f>IF(($G$27+$G$33)=0,0,G36/($G$27+$G$33))</f>
        <v>1.9999969948684648E-2</v>
      </c>
      <c r="G36" s="3363">
        <v>146416</v>
      </c>
      <c r="H36" s="3364"/>
      <c r="I36" s="324"/>
      <c r="J36" s="3363">
        <v>146416</v>
      </c>
      <c r="K36" s="3364"/>
      <c r="L36" s="1580"/>
      <c r="M36" s="3363"/>
      <c r="N36" s="3364"/>
      <c r="P36" s="3363"/>
      <c r="Q36" s="3364"/>
      <c r="S36" s="3363"/>
      <c r="T36" s="3364"/>
      <c r="V36" s="3360"/>
      <c r="W36" s="3361"/>
      <c r="X36" s="3362"/>
    </row>
    <row r="37" spans="1:24" s="305" customFormat="1" ht="12.6" customHeight="1" thickBot="1">
      <c r="B37" s="305" t="s">
        <v>2755</v>
      </c>
      <c r="D37" s="1051">
        <f>'DCA Underwriting Assumptions'!$R$76</f>
        <v>0.06</v>
      </c>
      <c r="E37" s="1052">
        <f>D37*(G27+G33)</f>
        <v>439248.66</v>
      </c>
      <c r="F37" s="1367">
        <f>IF(($G$27+$G$33)=0,0,G37/($G$27+$G$33))</f>
        <v>5.9999978144497923E-2</v>
      </c>
      <c r="G37" s="3368">
        <v>439248.5</v>
      </c>
      <c r="H37" s="3369"/>
      <c r="I37" s="324"/>
      <c r="J37" s="3368">
        <v>439248.5</v>
      </c>
      <c r="K37" s="3369"/>
      <c r="L37" s="1580"/>
      <c r="M37" s="3368"/>
      <c r="N37" s="3369"/>
      <c r="P37" s="3368"/>
      <c r="Q37" s="3369"/>
      <c r="S37" s="3368"/>
      <c r="T37" s="3369"/>
      <c r="V37" s="3360"/>
      <c r="W37" s="3370"/>
      <c r="X37" s="3371"/>
    </row>
    <row r="38" spans="1:24" s="305" customFormat="1" ht="12.6" customHeight="1" thickTop="1">
      <c r="B38" s="179" t="s">
        <v>3759</v>
      </c>
      <c r="D38" s="1049">
        <f>SUM(D35:D37)</f>
        <v>0.14000000000000001</v>
      </c>
      <c r="E38" s="1050">
        <f>SUM(E35:E37)</f>
        <v>1024913.54</v>
      </c>
      <c r="F38" s="1031" t="s">
        <v>193</v>
      </c>
      <c r="G38" s="1800">
        <f>SUM(G35:H37)</f>
        <v>1024913</v>
      </c>
      <c r="H38" s="1801"/>
      <c r="J38" s="1800">
        <f>SUM(J35:K37)</f>
        <v>1024913</v>
      </c>
      <c r="K38" s="1801"/>
      <c r="L38" s="363"/>
      <c r="M38" s="1800">
        <f>SUM(M35:N37)</f>
        <v>0</v>
      </c>
      <c r="N38" s="1801"/>
      <c r="P38" s="1800">
        <f>SUM(P35:Q37)</f>
        <v>0</v>
      </c>
      <c r="Q38" s="1801"/>
      <c r="S38" s="1800">
        <f>SUM(S35:T37)</f>
        <v>0</v>
      </c>
      <c r="T38" s="1801"/>
      <c r="V38" s="3372">
        <f>SUM(V35:V37)</f>
        <v>0</v>
      </c>
      <c r="W38" s="3373"/>
      <c r="X38" s="3374"/>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5" t="s">
        <v>3738</v>
      </c>
      <c r="D41" s="3377"/>
      <c r="E41" s="3377"/>
      <c r="F41" s="3378"/>
      <c r="G41" s="3379"/>
      <c r="H41" s="3380"/>
      <c r="I41" s="305"/>
      <c r="J41" s="3379"/>
      <c r="K41" s="3380"/>
      <c r="L41" s="1580"/>
      <c r="M41" s="3379"/>
      <c r="N41" s="3380"/>
      <c r="O41" s="305"/>
      <c r="P41" s="3379"/>
      <c r="Q41" s="3380"/>
      <c r="R41" s="305"/>
      <c r="S41" s="3379"/>
      <c r="T41" s="3380"/>
      <c r="V41" s="3360"/>
      <c r="W41" s="3381"/>
      <c r="X41" s="338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83"/>
      <c r="X42" s="3384"/>
    </row>
    <row r="43" spans="1:24" s="305" customFormat="1" ht="12.6" customHeight="1">
      <c r="B43" s="529" t="s">
        <v>2763</v>
      </c>
      <c r="C43" s="530"/>
      <c r="E43" s="1817" t="s">
        <v>2762</v>
      </c>
      <c r="F43" s="1578">
        <f>B44/'Part VI-Revenues &amp; Expenses'!$O$60</f>
        <v>115912.83333333333</v>
      </c>
      <c r="G43" s="1579" t="s">
        <v>2789</v>
      </c>
      <c r="H43" s="1574"/>
      <c r="I43" s="1574"/>
      <c r="J43" s="1819">
        <f>B44/'Part VI-Revenues &amp; Expenses'!$O$62</f>
        <v>115912.83333333333</v>
      </c>
      <c r="K43" s="1819"/>
      <c r="L43" s="1574"/>
      <c r="M43" s="1820" t="s">
        <v>1414</v>
      </c>
      <c r="N43" s="1820"/>
      <c r="O43" s="1574"/>
      <c r="P43" s="1819">
        <f>B44/'Part I-Project Information'!$P$71</f>
        <v>123.4209405501331</v>
      </c>
      <c r="Q43" s="1819"/>
      <c r="R43" s="1574"/>
      <c r="S43" s="1821" t="s">
        <v>2796</v>
      </c>
      <c r="T43" s="1822"/>
      <c r="V43" s="1176"/>
      <c r="W43" s="3383"/>
      <c r="X43" s="3384"/>
    </row>
    <row r="44" spans="1:24" s="305" customFormat="1" ht="12.6" customHeight="1">
      <c r="B44" s="1813">
        <f>G27+G33+G38+G41</f>
        <v>8345724</v>
      </c>
      <c r="C44" s="1814"/>
      <c r="E44" s="1818"/>
      <c r="F44" s="1577">
        <f>B44/'Part VI-Revenues &amp; Expenses'!$O$117</f>
        <v>130.76562940678764</v>
      </c>
      <c r="G44" s="528" t="s">
        <v>2790</v>
      </c>
      <c r="H44" s="1567"/>
      <c r="I44" s="1567"/>
      <c r="J44" s="1815">
        <f>B44/'Part VI-Revenues &amp; Expenses'!$O$119</f>
        <v>130.76562940678764</v>
      </c>
      <c r="K44" s="1815"/>
      <c r="L44" s="1567"/>
      <c r="M44" s="1816" t="s">
        <v>2795</v>
      </c>
      <c r="N44" s="1816"/>
      <c r="O44" s="1567"/>
      <c r="P44" s="1567"/>
      <c r="Q44" s="1567"/>
      <c r="R44" s="1567"/>
      <c r="S44" s="1567"/>
      <c r="T44" s="353"/>
      <c r="V44" s="1176"/>
      <c r="W44" s="3385"/>
      <c r="X44" s="338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4238</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4237</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417286.2</v>
      </c>
      <c r="F47" s="365">
        <f>G47/B44</f>
        <v>4.9999976035632138E-2</v>
      </c>
      <c r="G47" s="3379">
        <v>417286</v>
      </c>
      <c r="H47" s="3380"/>
      <c r="I47" s="305"/>
      <c r="J47" s="3379">
        <v>375558</v>
      </c>
      <c r="K47" s="3380"/>
      <c r="L47" s="1580"/>
      <c r="M47" s="3379"/>
      <c r="N47" s="3380"/>
      <c r="O47" s="305"/>
      <c r="P47" s="3379"/>
      <c r="Q47" s="3380"/>
      <c r="R47" s="305"/>
      <c r="S47" s="3379">
        <v>41729</v>
      </c>
      <c r="T47" s="3380"/>
      <c r="V47" s="3360"/>
      <c r="W47" s="3361"/>
      <c r="X47" s="3362"/>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8">
        <v>199174</v>
      </c>
      <c r="H52" s="3359"/>
      <c r="J52" s="3358">
        <v>172761</v>
      </c>
      <c r="K52" s="3359"/>
      <c r="L52" s="1580"/>
      <c r="M52" s="3358"/>
      <c r="N52" s="3359"/>
      <c r="P52" s="3358"/>
      <c r="Q52" s="3359"/>
      <c r="S52" s="3358">
        <v>26414</v>
      </c>
      <c r="T52" s="3359"/>
      <c r="V52" s="3387"/>
      <c r="W52" s="3361"/>
      <c r="X52" s="3362"/>
    </row>
    <row r="53" spans="1:24" s="305" customFormat="1" ht="12" customHeight="1">
      <c r="B53" s="305" t="s">
        <v>3761</v>
      </c>
      <c r="G53" s="3363">
        <v>57000</v>
      </c>
      <c r="H53" s="3364"/>
      <c r="J53" s="3363">
        <v>57000</v>
      </c>
      <c r="K53" s="3364"/>
      <c r="L53" s="1580"/>
      <c r="M53" s="3363"/>
      <c r="N53" s="3364"/>
      <c r="P53" s="3363"/>
      <c r="Q53" s="3364"/>
      <c r="S53" s="3363"/>
      <c r="T53" s="3364"/>
      <c r="V53" s="3387"/>
      <c r="W53" s="3361"/>
      <c r="X53" s="3362"/>
    </row>
    <row r="54" spans="1:24" s="305" customFormat="1" ht="12" customHeight="1">
      <c r="B54" s="305" t="s">
        <v>2362</v>
      </c>
      <c r="G54" s="3363">
        <v>41000</v>
      </c>
      <c r="H54" s="3364"/>
      <c r="J54" s="3363">
        <v>24600</v>
      </c>
      <c r="K54" s="3364"/>
      <c r="L54" s="1580"/>
      <c r="M54" s="3363"/>
      <c r="N54" s="3364"/>
      <c r="P54" s="3363"/>
      <c r="Q54" s="3364"/>
      <c r="S54" s="3363">
        <v>16400</v>
      </c>
      <c r="T54" s="3364"/>
      <c r="V54" s="3387"/>
      <c r="W54" s="3361"/>
      <c r="X54" s="3362"/>
    </row>
    <row r="55" spans="1:24" s="305" customFormat="1" ht="12" customHeight="1">
      <c r="B55" s="305" t="s">
        <v>2363</v>
      </c>
      <c r="G55" s="3363">
        <v>146756</v>
      </c>
      <c r="H55" s="3364"/>
      <c r="J55" s="3363">
        <v>64141</v>
      </c>
      <c r="K55" s="3364"/>
      <c r="L55" s="1580"/>
      <c r="M55" s="3363"/>
      <c r="N55" s="3364"/>
      <c r="P55" s="3363"/>
      <c r="Q55" s="3364"/>
      <c r="S55" s="3363">
        <v>82615</v>
      </c>
      <c r="T55" s="3364"/>
      <c r="V55" s="3387"/>
      <c r="W55" s="3361"/>
      <c r="X55" s="3362"/>
    </row>
    <row r="56" spans="1:24" s="305" customFormat="1" ht="12" customHeight="1">
      <c r="B56" s="305" t="s">
        <v>2364</v>
      </c>
      <c r="G56" s="3363">
        <v>25000</v>
      </c>
      <c r="H56" s="3364"/>
      <c r="J56" s="3363">
        <v>25000</v>
      </c>
      <c r="K56" s="3364"/>
      <c r="L56" s="1580"/>
      <c r="M56" s="3363"/>
      <c r="N56" s="3364"/>
      <c r="P56" s="3363"/>
      <c r="Q56" s="3364"/>
      <c r="S56" s="3363"/>
      <c r="T56" s="3364"/>
      <c r="V56" s="3387"/>
      <c r="W56" s="3361"/>
      <c r="X56" s="3362"/>
    </row>
    <row r="57" spans="1:24" s="305" customFormat="1" ht="12" customHeight="1">
      <c r="B57" s="305" t="s">
        <v>2704</v>
      </c>
      <c r="G57" s="3363">
        <v>20400</v>
      </c>
      <c r="H57" s="3364"/>
      <c r="J57" s="3363">
        <v>20400</v>
      </c>
      <c r="K57" s="3364"/>
      <c r="L57" s="1580"/>
      <c r="M57" s="3363"/>
      <c r="N57" s="3364"/>
      <c r="P57" s="3363"/>
      <c r="Q57" s="3364"/>
      <c r="S57" s="3363"/>
      <c r="T57" s="3364"/>
      <c r="V57" s="3387"/>
      <c r="W57" s="3361"/>
      <c r="X57" s="3362"/>
    </row>
    <row r="58" spans="1:24" s="305" customFormat="1" ht="12" customHeight="1">
      <c r="B58" s="305" t="s">
        <v>731</v>
      </c>
      <c r="G58" s="3363">
        <v>12600</v>
      </c>
      <c r="H58" s="3364"/>
      <c r="J58" s="3363">
        <v>12600</v>
      </c>
      <c r="K58" s="3364"/>
      <c r="L58" s="1580"/>
      <c r="M58" s="3363"/>
      <c r="N58" s="3364"/>
      <c r="P58" s="3363"/>
      <c r="Q58" s="3364"/>
      <c r="S58" s="3363"/>
      <c r="T58" s="3364"/>
      <c r="V58" s="3387"/>
      <c r="W58" s="3361"/>
      <c r="X58" s="3362"/>
    </row>
    <row r="59" spans="1:24" s="305" customFormat="1" ht="12" customHeight="1">
      <c r="B59" s="305" t="s">
        <v>2365</v>
      </c>
      <c r="G59" s="3363">
        <v>5000</v>
      </c>
      <c r="H59" s="3364"/>
      <c r="J59" s="3363">
        <v>5000</v>
      </c>
      <c r="K59" s="3364"/>
      <c r="L59" s="1580"/>
      <c r="M59" s="3363"/>
      <c r="N59" s="3364"/>
      <c r="P59" s="3363"/>
      <c r="Q59" s="3364"/>
      <c r="S59" s="3363"/>
      <c r="T59" s="3364"/>
      <c r="V59" s="3387"/>
      <c r="W59" s="3361"/>
      <c r="X59" s="3362"/>
    </row>
    <row r="60" spans="1:24" s="305" customFormat="1" ht="12" customHeight="1">
      <c r="B60" s="305" t="s">
        <v>1288</v>
      </c>
      <c r="G60" s="3363">
        <v>50000</v>
      </c>
      <c r="H60" s="3364"/>
      <c r="J60" s="3363">
        <v>25000</v>
      </c>
      <c r="K60" s="3364"/>
      <c r="L60" s="1580"/>
      <c r="M60" s="3363"/>
      <c r="N60" s="3364"/>
      <c r="P60" s="3363"/>
      <c r="Q60" s="3364"/>
      <c r="S60" s="3363">
        <v>25000</v>
      </c>
      <c r="T60" s="3364"/>
      <c r="V60" s="3387"/>
      <c r="W60" s="3361"/>
      <c r="X60" s="3362"/>
    </row>
    <row r="61" spans="1:24" s="305" customFormat="1" ht="12" customHeight="1">
      <c r="B61" s="367" t="s">
        <v>1163</v>
      </c>
      <c r="D61" s="365"/>
      <c r="E61" s="365"/>
      <c r="F61" s="366"/>
      <c r="G61" s="3363">
        <v>62593</v>
      </c>
      <c r="H61" s="3364"/>
      <c r="I61" s="324"/>
      <c r="J61" s="3363">
        <v>62593</v>
      </c>
      <c r="K61" s="3364"/>
      <c r="L61" s="1580"/>
      <c r="M61" s="3363"/>
      <c r="N61" s="3364"/>
      <c r="P61" s="3363"/>
      <c r="Q61" s="3364"/>
      <c r="S61" s="3363"/>
      <c r="T61" s="3364"/>
      <c r="V61" s="3387"/>
      <c r="W61" s="3361"/>
      <c r="X61" s="3362"/>
    </row>
    <row r="62" spans="1:24" s="305" customFormat="1" ht="12" customHeight="1">
      <c r="A62" s="387" t="str">
        <f>IF(AND(G62&gt;0,OR(C62="",C62="&lt;Enter detailed description here; use Comments section if needed&gt;")),"X","")</f>
        <v/>
      </c>
      <c r="B62" s="305" t="s">
        <v>749</v>
      </c>
      <c r="C62" s="3388" t="s">
        <v>4666</v>
      </c>
      <c r="D62" s="3388"/>
      <c r="E62" s="3388"/>
      <c r="F62" s="3389"/>
      <c r="G62" s="3363">
        <v>22500</v>
      </c>
      <c r="H62" s="3364"/>
      <c r="J62" s="3363">
        <v>22500</v>
      </c>
      <c r="K62" s="3364"/>
      <c r="L62" s="1580"/>
      <c r="M62" s="3363"/>
      <c r="N62" s="3364"/>
      <c r="P62" s="3363"/>
      <c r="Q62" s="3364"/>
      <c r="S62" s="3363"/>
      <c r="T62" s="3364"/>
      <c r="U62" s="386" t="str">
        <f>IF(AND(G62&gt;0,OR(C62="",C62="&lt;Enter detailed description here; use Comments section if needed&gt;")),"NO DESCRIPTION PROVIDED - please enter detailed description in Other box at left; use Comments section below if needed.","")</f>
        <v/>
      </c>
      <c r="V62" s="3387"/>
      <c r="W62" s="3361"/>
      <c r="X62" s="3362"/>
    </row>
    <row r="63" spans="1:24" s="305" customFormat="1" ht="12" customHeight="1" thickBot="1">
      <c r="A63" s="387" t="str">
        <f>IF(AND(G63&gt;0,OR(C63="",C63="&lt;Enter detailed description here; use Comments section if needed&gt;")),"X","")</f>
        <v/>
      </c>
      <c r="B63" s="305" t="s">
        <v>749</v>
      </c>
      <c r="C63" s="3390" t="s">
        <v>4667</v>
      </c>
      <c r="D63" s="3390"/>
      <c r="E63" s="3390"/>
      <c r="F63" s="3391"/>
      <c r="G63" s="3392">
        <v>12500</v>
      </c>
      <c r="H63" s="3393"/>
      <c r="J63" s="3392">
        <v>12500</v>
      </c>
      <c r="K63" s="3393"/>
      <c r="L63" s="1580"/>
      <c r="M63" s="3392"/>
      <c r="N63" s="3393"/>
      <c r="P63" s="3392"/>
      <c r="Q63" s="3393"/>
      <c r="S63" s="3392"/>
      <c r="T63" s="3393"/>
      <c r="U63" s="386" t="str">
        <f>IF(AND(G63&gt;0,OR(C63="",C63="&lt;Enter detailed description here; use Comments section if needed&gt;")),"NO DESCRIPTION PROVIDED - please enter detailed description in Other box at left; use Comments section below if needed.","")</f>
        <v/>
      </c>
      <c r="V63" s="3387"/>
      <c r="W63" s="3370"/>
      <c r="X63" s="3371"/>
    </row>
    <row r="64" spans="1:24" s="305" customFormat="1" ht="12" customHeight="1" thickTop="1">
      <c r="F64" s="361" t="s">
        <v>193</v>
      </c>
      <c r="G64" s="1800">
        <f>SUM(G52:H63)</f>
        <v>654523</v>
      </c>
      <c r="H64" s="1801"/>
      <c r="J64" s="1800">
        <f>SUM(J52:K63)</f>
        <v>504095</v>
      </c>
      <c r="K64" s="1801"/>
      <c r="L64" s="363"/>
      <c r="M64" s="1800">
        <f>SUM(M52:N63)</f>
        <v>0</v>
      </c>
      <c r="N64" s="1801"/>
      <c r="P64" s="1800">
        <f>SUM(P52:Q63)</f>
        <v>0</v>
      </c>
      <c r="Q64" s="1801"/>
      <c r="S64" s="1800">
        <f>SUM(S52:T63)</f>
        <v>150429</v>
      </c>
      <c r="T64" s="1801"/>
      <c r="V64" s="3394">
        <f>SUM(V52:V63)</f>
        <v>0</v>
      </c>
      <c r="W64" s="3373"/>
      <c r="X64" s="3374"/>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8">
        <v>180800</v>
      </c>
      <c r="H66" s="3359"/>
      <c r="J66" s="3358">
        <v>180800</v>
      </c>
      <c r="K66" s="3359"/>
      <c r="L66" s="1580"/>
      <c r="M66" s="3358"/>
      <c r="N66" s="3359"/>
      <c r="P66" s="3358"/>
      <c r="Q66" s="3359"/>
      <c r="S66" s="3358"/>
      <c r="T66" s="3359"/>
      <c r="V66" s="3360"/>
      <c r="W66" s="3361"/>
      <c r="X66" s="3362"/>
    </row>
    <row r="67" spans="1:24" s="305" customFormat="1" ht="12" customHeight="1">
      <c r="B67" s="305" t="s">
        <v>482</v>
      </c>
      <c r="G67" s="3363">
        <v>45200</v>
      </c>
      <c r="H67" s="3364"/>
      <c r="J67" s="3363">
        <v>45200</v>
      </c>
      <c r="K67" s="3364"/>
      <c r="L67" s="1580"/>
      <c r="M67" s="3363"/>
      <c r="N67" s="3364"/>
      <c r="P67" s="3363"/>
      <c r="Q67" s="3364"/>
      <c r="S67" s="3363"/>
      <c r="T67" s="3364"/>
      <c r="V67" s="3360"/>
      <c r="W67" s="3361"/>
      <c r="X67" s="3362"/>
    </row>
    <row r="68" spans="1:24" s="305" customFormat="1" ht="12" customHeight="1">
      <c r="B68" s="305" t="s">
        <v>1137</v>
      </c>
      <c r="D68" s="318" t="s">
        <v>3876</v>
      </c>
      <c r="E68" s="1167">
        <f>'DCA Underwriting Assumptions'!R77</f>
        <v>20000</v>
      </c>
      <c r="F68" s="1168" t="str">
        <f>IF(G68&gt;E68,"CHECK!!!","")</f>
        <v/>
      </c>
      <c r="G68" s="3363">
        <v>20000</v>
      </c>
      <c r="H68" s="3364"/>
      <c r="J68" s="3363">
        <v>20000</v>
      </c>
      <c r="K68" s="3364"/>
      <c r="L68" s="1580"/>
      <c r="M68" s="3363"/>
      <c r="N68" s="3364"/>
      <c r="P68" s="3363"/>
      <c r="Q68" s="3364"/>
      <c r="S68" s="3363"/>
      <c r="T68" s="3364"/>
      <c r="V68" s="3360"/>
      <c r="W68" s="3361"/>
      <c r="X68" s="3362"/>
    </row>
    <row r="69" spans="1:24" s="305" customFormat="1" ht="12" customHeight="1">
      <c r="B69" s="305" t="s">
        <v>1138</v>
      </c>
      <c r="G69" s="3363">
        <v>5400</v>
      </c>
      <c r="H69" s="3364"/>
      <c r="J69" s="3363">
        <v>5400</v>
      </c>
      <c r="K69" s="3364"/>
      <c r="L69" s="1580"/>
      <c r="M69" s="3363"/>
      <c r="N69" s="3364"/>
      <c r="P69" s="3363"/>
      <c r="Q69" s="3364"/>
      <c r="S69" s="3363"/>
      <c r="T69" s="3364"/>
      <c r="V69" s="3360"/>
      <c r="W69" s="3361"/>
      <c r="X69" s="3362"/>
    </row>
    <row r="70" spans="1:24" s="305" customFormat="1" ht="12" customHeight="1">
      <c r="B70" s="305" t="s">
        <v>1139</v>
      </c>
      <c r="G70" s="3363">
        <v>6300</v>
      </c>
      <c r="H70" s="3364"/>
      <c r="J70" s="3363">
        <v>6300</v>
      </c>
      <c r="K70" s="3364"/>
      <c r="L70" s="1580"/>
      <c r="M70" s="3363"/>
      <c r="N70" s="3364"/>
      <c r="P70" s="3363"/>
      <c r="Q70" s="3364"/>
      <c r="S70" s="3363"/>
      <c r="T70" s="3364"/>
      <c r="V70" s="3360"/>
      <c r="W70" s="3361"/>
      <c r="X70" s="3362"/>
    </row>
    <row r="71" spans="1:24" s="305" customFormat="1" ht="12" customHeight="1">
      <c r="B71" s="305" t="s">
        <v>1140</v>
      </c>
      <c r="G71" s="3363">
        <v>45000</v>
      </c>
      <c r="H71" s="3364"/>
      <c r="J71" s="3363">
        <v>45000</v>
      </c>
      <c r="K71" s="3364"/>
      <c r="L71" s="1580"/>
      <c r="M71" s="3363"/>
      <c r="N71" s="3364"/>
      <c r="P71" s="3363"/>
      <c r="Q71" s="3364"/>
      <c r="S71" s="3363"/>
      <c r="T71" s="3364"/>
      <c r="V71" s="3360"/>
      <c r="W71" s="3361"/>
      <c r="X71" s="3362"/>
    </row>
    <row r="72" spans="1:24" s="305" customFormat="1" ht="12" customHeight="1">
      <c r="B72" s="305" t="s">
        <v>483</v>
      </c>
      <c r="G72" s="3363">
        <v>60400</v>
      </c>
      <c r="H72" s="3364"/>
      <c r="J72" s="3363">
        <v>60400</v>
      </c>
      <c r="K72" s="3364"/>
      <c r="L72" s="1580"/>
      <c r="M72" s="3363"/>
      <c r="N72" s="3364"/>
      <c r="P72" s="3363"/>
      <c r="Q72" s="3364"/>
      <c r="S72" s="3363"/>
      <c r="T72" s="3364"/>
      <c r="V72" s="3360"/>
      <c r="W72" s="3361"/>
      <c r="X72" s="3362"/>
    </row>
    <row r="73" spans="1:24" s="305" customFormat="1" ht="12" customHeight="1">
      <c r="B73" s="305" t="s">
        <v>484</v>
      </c>
      <c r="G73" s="3363">
        <v>50000</v>
      </c>
      <c r="H73" s="3364"/>
      <c r="J73" s="3363">
        <v>50000</v>
      </c>
      <c r="K73" s="3364"/>
      <c r="L73" s="1580"/>
      <c r="M73" s="3363"/>
      <c r="N73" s="3364"/>
      <c r="P73" s="3363"/>
      <c r="Q73" s="3364"/>
      <c r="S73" s="3363"/>
      <c r="T73" s="3364"/>
      <c r="V73" s="3360"/>
      <c r="W73" s="3361"/>
      <c r="X73" s="3362"/>
    </row>
    <row r="74" spans="1:24" s="305" customFormat="1" ht="12" customHeight="1">
      <c r="B74" s="305" t="s">
        <v>2065</v>
      </c>
      <c r="G74" s="3363">
        <v>27500</v>
      </c>
      <c r="H74" s="3364"/>
      <c r="J74" s="3363">
        <v>27500</v>
      </c>
      <c r="K74" s="3364"/>
      <c r="L74" s="1580"/>
      <c r="M74" s="3363"/>
      <c r="N74" s="3364"/>
      <c r="P74" s="3363"/>
      <c r="Q74" s="3364"/>
      <c r="S74" s="3363"/>
      <c r="T74" s="3364"/>
      <c r="V74" s="3360"/>
      <c r="W74" s="3361"/>
      <c r="X74" s="3362"/>
    </row>
    <row r="75" spans="1:24" s="305" customFormat="1" ht="12" customHeight="1">
      <c r="B75" s="305" t="s">
        <v>1289</v>
      </c>
      <c r="G75" s="3363">
        <v>7500</v>
      </c>
      <c r="H75" s="3364"/>
      <c r="J75" s="3363">
        <v>7500</v>
      </c>
      <c r="K75" s="3364"/>
      <c r="L75" s="1580"/>
      <c r="M75" s="3363"/>
      <c r="N75" s="3364"/>
      <c r="P75" s="3363"/>
      <c r="Q75" s="3364"/>
      <c r="S75" s="3363"/>
      <c r="T75" s="3364"/>
      <c r="V75" s="3360"/>
      <c r="W75" s="3361"/>
      <c r="X75" s="3362"/>
    </row>
    <row r="76" spans="1:24" s="305" customFormat="1" ht="12" customHeight="1" thickBot="1">
      <c r="A76" s="387" t="str">
        <f>IF(AND(G76&gt;0,OR(C76="",C76="&lt;Enter detailed description here; use Comments section if needed&gt;")),"X","")</f>
        <v/>
      </c>
      <c r="B76" s="305" t="s">
        <v>749</v>
      </c>
      <c r="C76" s="3365" t="s">
        <v>3738</v>
      </c>
      <c r="D76" s="3365"/>
      <c r="E76" s="3365"/>
      <c r="F76" s="3366"/>
      <c r="G76" s="3392"/>
      <c r="H76" s="3393"/>
      <c r="J76" s="3392"/>
      <c r="K76" s="3393"/>
      <c r="L76" s="1580"/>
      <c r="M76" s="3392"/>
      <c r="N76" s="3393"/>
      <c r="P76" s="3392"/>
      <c r="Q76" s="3393"/>
      <c r="S76" s="3392"/>
      <c r="T76" s="3393"/>
      <c r="U76" s="386" t="str">
        <f>IF(AND(G76&gt;0,OR(C76="",C76="&lt;Enter detailed description here; use Comments section if needed&gt;")),"NO DESCRIPTION PROVIDED - please enter detailed description in Other box at left; use Comments section below if needed.","")</f>
        <v/>
      </c>
      <c r="V76" s="3360"/>
      <c r="W76" s="3370"/>
      <c r="X76" s="3371"/>
    </row>
    <row r="77" spans="1:24" s="305" customFormat="1" ht="12" customHeight="1" thickTop="1">
      <c r="F77" s="361" t="s">
        <v>193</v>
      </c>
      <c r="G77" s="1800">
        <f>SUM(G66:H76)</f>
        <v>448100</v>
      </c>
      <c r="H77" s="1801"/>
      <c r="J77" s="1800">
        <f>SUM(J66:K76)</f>
        <v>448100</v>
      </c>
      <c r="K77" s="1801"/>
      <c r="L77" s="363"/>
      <c r="M77" s="1800">
        <f>SUM(M66:N76)</f>
        <v>0</v>
      </c>
      <c r="N77" s="1801"/>
      <c r="P77" s="1800">
        <f>SUM(P66:Q76)</f>
        <v>0</v>
      </c>
      <c r="Q77" s="1801"/>
      <c r="S77" s="1800">
        <f>SUM(S66:T76)</f>
        <v>0</v>
      </c>
      <c r="T77" s="1801"/>
      <c r="V77" s="3372">
        <f>SUM(V66:V76)</f>
        <v>0</v>
      </c>
      <c r="W77" s="3373"/>
      <c r="X77" s="3374"/>
    </row>
    <row r="78" spans="1:24" ht="12" customHeight="1">
      <c r="A78" s="305"/>
      <c r="B78" s="307" t="s">
        <v>1281</v>
      </c>
      <c r="C78" s="305"/>
      <c r="D78" s="969" t="s">
        <v>3762</v>
      </c>
      <c r="E78" s="1054">
        <f>G83/'Part VI-Revenues &amp; Expenses'!$O$62</f>
        <v>4576.416666666667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8">
        <v>17862</v>
      </c>
      <c r="H79" s="3359"/>
      <c r="J79" s="3358">
        <v>17862</v>
      </c>
      <c r="K79" s="3359"/>
      <c r="L79" s="1580"/>
      <c r="M79" s="3358"/>
      <c r="N79" s="3359"/>
      <c r="P79" s="3358"/>
      <c r="Q79" s="3359"/>
      <c r="S79" s="3358"/>
      <c r="T79" s="3359"/>
      <c r="V79" s="3360"/>
      <c r="W79" s="3361"/>
      <c r="X79" s="3362"/>
    </row>
    <row r="80" spans="1:24" s="305" customFormat="1" ht="12" customHeight="1">
      <c r="B80" s="305" t="s">
        <v>1283</v>
      </c>
      <c r="G80" s="3363"/>
      <c r="H80" s="3364"/>
      <c r="J80" s="3363"/>
      <c r="K80" s="3364"/>
      <c r="L80" s="1580"/>
      <c r="M80" s="3363"/>
      <c r="N80" s="3364"/>
      <c r="P80" s="3363"/>
      <c r="Q80" s="3364"/>
      <c r="S80" s="3363"/>
      <c r="T80" s="3364"/>
      <c r="V80" s="3360"/>
      <c r="W80" s="3361"/>
      <c r="X80" s="3362"/>
    </row>
    <row r="81" spans="1:24" s="305" customFormat="1" ht="12" customHeight="1">
      <c r="B81" s="305" t="s">
        <v>1284</v>
      </c>
      <c r="D81" s="369" t="s">
        <v>1415</v>
      </c>
      <c r="E81" s="3395"/>
      <c r="G81" s="3363">
        <v>150310</v>
      </c>
      <c r="H81" s="3364"/>
      <c r="I81" s="324"/>
      <c r="J81" s="3363">
        <v>150310</v>
      </c>
      <c r="K81" s="3364"/>
      <c r="L81" s="1580"/>
      <c r="M81" s="3363"/>
      <c r="N81" s="3364"/>
      <c r="P81" s="3363"/>
      <c r="Q81" s="3364"/>
      <c r="S81" s="3363"/>
      <c r="T81" s="3364"/>
      <c r="V81" s="3360"/>
      <c r="W81" s="3361"/>
      <c r="X81" s="3362"/>
    </row>
    <row r="82" spans="1:24" s="305" customFormat="1" ht="12" customHeight="1" thickBot="1">
      <c r="B82" s="305" t="s">
        <v>1285</v>
      </c>
      <c r="D82" s="369" t="s">
        <v>1415</v>
      </c>
      <c r="E82" s="3396"/>
      <c r="G82" s="3392">
        <v>161330</v>
      </c>
      <c r="H82" s="3393"/>
      <c r="I82" s="324"/>
      <c r="J82" s="3392">
        <v>161330</v>
      </c>
      <c r="K82" s="3393"/>
      <c r="L82" s="1580"/>
      <c r="M82" s="3392"/>
      <c r="N82" s="3393"/>
      <c r="P82" s="3392"/>
      <c r="Q82" s="3393"/>
      <c r="S82" s="3392"/>
      <c r="T82" s="3393"/>
      <c r="V82" s="3360"/>
      <c r="W82" s="3370"/>
      <c r="X82" s="3371"/>
    </row>
    <row r="83" spans="1:24" s="305" customFormat="1" ht="12" customHeight="1" thickTop="1">
      <c r="F83" s="361" t="s">
        <v>193</v>
      </c>
      <c r="G83" s="1800">
        <f>SUM(G79:H82)</f>
        <v>329502</v>
      </c>
      <c r="H83" s="1801"/>
      <c r="J83" s="1800">
        <f>SUM(J79:K82)</f>
        <v>329502</v>
      </c>
      <c r="K83" s="1801"/>
      <c r="L83" s="363"/>
      <c r="M83" s="1800">
        <f>SUM(M79:N82)</f>
        <v>0</v>
      </c>
      <c r="N83" s="1801"/>
      <c r="P83" s="1800">
        <f>SUM(P79:Q82)</f>
        <v>0</v>
      </c>
      <c r="Q83" s="1801"/>
      <c r="S83" s="1800">
        <f>SUM(S79:T82)</f>
        <v>0</v>
      </c>
      <c r="T83" s="1801"/>
      <c r="V83" s="3372">
        <f>SUM(V79:V82)</f>
        <v>0</v>
      </c>
      <c r="W83" s="3373"/>
      <c r="X83" s="3374"/>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8">
        <v>3000</v>
      </c>
      <c r="H85" s="3359"/>
      <c r="J85" s="1804"/>
      <c r="K85" s="1804"/>
      <c r="L85" s="1580"/>
      <c r="M85" s="1804"/>
      <c r="N85" s="1804"/>
      <c r="P85" s="1804"/>
      <c r="Q85" s="1804"/>
      <c r="S85" s="3358">
        <v>3000</v>
      </c>
      <c r="T85" s="3359"/>
      <c r="V85" s="3360"/>
      <c r="W85" s="3361"/>
      <c r="X85" s="3362"/>
    </row>
    <row r="86" spans="1:24" s="305" customFormat="1" ht="12" customHeight="1">
      <c r="B86" s="305" t="s">
        <v>1287</v>
      </c>
      <c r="G86" s="3363">
        <v>5000</v>
      </c>
      <c r="H86" s="3364"/>
      <c r="J86" s="1804"/>
      <c r="K86" s="1804"/>
      <c r="L86" s="1580"/>
      <c r="M86" s="1804"/>
      <c r="N86" s="1804"/>
      <c r="P86" s="1804"/>
      <c r="Q86" s="1804"/>
      <c r="S86" s="3363">
        <v>5000</v>
      </c>
      <c r="T86" s="3364"/>
      <c r="V86" s="3360"/>
      <c r="W86" s="3361"/>
      <c r="X86" s="3362"/>
    </row>
    <row r="87" spans="1:24" s="305" customFormat="1" ht="12" customHeight="1">
      <c r="B87" s="305" t="s">
        <v>1288</v>
      </c>
      <c r="G87" s="3363"/>
      <c r="H87" s="3364"/>
      <c r="J87" s="1804"/>
      <c r="K87" s="1804"/>
      <c r="L87" s="1580"/>
      <c r="M87" s="1804"/>
      <c r="N87" s="1804"/>
      <c r="P87" s="1804"/>
      <c r="Q87" s="1804"/>
      <c r="S87" s="3363"/>
      <c r="T87" s="3364"/>
      <c r="V87" s="3360"/>
      <c r="W87" s="3361"/>
      <c r="X87" s="3362"/>
    </row>
    <row r="88" spans="1:24" s="305" customFormat="1" ht="12" customHeight="1">
      <c r="B88" s="305" t="s">
        <v>1290</v>
      </c>
      <c r="G88" s="3363"/>
      <c r="H88" s="3364"/>
      <c r="J88" s="1804"/>
      <c r="K88" s="1804"/>
      <c r="L88" s="1580"/>
      <c r="M88" s="1804"/>
      <c r="N88" s="1804"/>
      <c r="P88" s="1804"/>
      <c r="Q88" s="1804"/>
      <c r="S88" s="3363"/>
      <c r="T88" s="3364"/>
      <c r="V88" s="3360"/>
      <c r="W88" s="3361"/>
      <c r="X88" s="3362"/>
    </row>
    <row r="89" spans="1:24" s="305" customFormat="1" ht="12" customHeight="1">
      <c r="B89" s="305" t="s">
        <v>2314</v>
      </c>
      <c r="G89" s="3363"/>
      <c r="H89" s="3364"/>
      <c r="J89" s="1804"/>
      <c r="K89" s="1804"/>
      <c r="L89" s="1580"/>
      <c r="M89" s="1804"/>
      <c r="N89" s="1804"/>
      <c r="P89" s="1804"/>
      <c r="Q89" s="1804"/>
      <c r="S89" s="3363"/>
      <c r="T89" s="3364"/>
      <c r="V89" s="3360"/>
      <c r="W89" s="3361"/>
      <c r="X89" s="3362"/>
    </row>
    <row r="90" spans="1:24" s="305" customFormat="1" ht="12" customHeight="1" thickBot="1">
      <c r="A90" s="387" t="str">
        <f>IF(AND(G90&gt;0,OR(C90="",C90="&lt;Enter detailed description here; use Comments section if needed&gt;")),"X","")</f>
        <v/>
      </c>
      <c r="B90" s="305" t="s">
        <v>749</v>
      </c>
      <c r="C90" s="3365" t="s">
        <v>3738</v>
      </c>
      <c r="D90" s="3365"/>
      <c r="E90" s="3365"/>
      <c r="F90" s="3366"/>
      <c r="G90" s="3392"/>
      <c r="H90" s="3393"/>
      <c r="J90" s="1804"/>
      <c r="K90" s="1804"/>
      <c r="L90" s="1580"/>
      <c r="M90" s="1804"/>
      <c r="N90" s="1804"/>
      <c r="P90" s="1804"/>
      <c r="Q90" s="1804"/>
      <c r="S90" s="3392"/>
      <c r="T90" s="3393"/>
      <c r="U90" s="386" t="str">
        <f>IF(AND(G90&gt;0,OR(C90="",C90="&lt;Enter detailed description here; use Comments section if needed&gt;")),"NO DESCRIPTION PROVIDED - please enter detailed description in Other box at left; use Comments section below if needed.","")</f>
        <v/>
      </c>
      <c r="V90" s="3360"/>
      <c r="W90" s="3370"/>
      <c r="X90" s="3371"/>
    </row>
    <row r="91" spans="1:24" s="305" customFormat="1" ht="12" customHeight="1" thickTop="1">
      <c r="F91" s="361" t="s">
        <v>193</v>
      </c>
      <c r="G91" s="1800">
        <f>SUM(G85:H90)</f>
        <v>8000</v>
      </c>
      <c r="H91" s="1801"/>
      <c r="J91" s="1804"/>
      <c r="K91" s="1804"/>
      <c r="L91" s="363"/>
      <c r="M91" s="1804"/>
      <c r="N91" s="1804"/>
      <c r="P91" s="1804"/>
      <c r="Q91" s="1804"/>
      <c r="S91" s="1800">
        <f>SUM(S85:T90)</f>
        <v>8000</v>
      </c>
      <c r="T91" s="1801"/>
      <c r="V91" s="3372">
        <f>SUM(V85:V90)</f>
        <v>0</v>
      </c>
      <c r="W91" s="3373"/>
      <c r="X91" s="3374"/>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8"/>
      <c r="H96" s="3359"/>
      <c r="J96" s="363"/>
      <c r="K96" s="363"/>
      <c r="L96" s="1580"/>
      <c r="M96" s="363"/>
      <c r="N96" s="363"/>
      <c r="P96" s="363"/>
      <c r="Q96" s="363"/>
      <c r="S96" s="3358"/>
      <c r="T96" s="3359"/>
      <c r="V96" s="3360"/>
      <c r="W96" s="3361"/>
      <c r="X96" s="3362"/>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63">
        <v>6500</v>
      </c>
      <c r="H97" s="3364"/>
      <c r="J97" s="363"/>
      <c r="K97" s="363"/>
      <c r="L97" s="370"/>
      <c r="M97" s="363"/>
      <c r="N97" s="363"/>
      <c r="P97" s="363"/>
      <c r="Q97" s="363"/>
      <c r="S97" s="3363">
        <v>6500</v>
      </c>
      <c r="T97" s="3364"/>
      <c r="V97" s="3360"/>
      <c r="W97" s="3361"/>
      <c r="X97" s="3362"/>
    </row>
    <row r="98" spans="1:24" s="305" customFormat="1" ht="12.6" customHeight="1">
      <c r="B98" s="305" t="s">
        <v>3982</v>
      </c>
      <c r="G98" s="3363"/>
      <c r="H98" s="3364"/>
      <c r="J98" s="363"/>
      <c r="K98" s="363"/>
      <c r="L98" s="370"/>
      <c r="M98" s="363"/>
      <c r="N98" s="363"/>
      <c r="O98" s="1570"/>
      <c r="P98" s="363"/>
      <c r="Q98" s="363"/>
      <c r="S98" s="3363"/>
      <c r="T98" s="3364"/>
      <c r="V98" s="3360"/>
      <c r="W98" s="3361"/>
      <c r="X98" s="3362"/>
    </row>
    <row r="99" spans="1:24" s="305" customFormat="1" ht="12.6" customHeight="1">
      <c r="B99" s="305" t="s">
        <v>524</v>
      </c>
      <c r="E99" s="1811">
        <f>'DCA Underwriting Assumptions'!$Q$88*J175</f>
        <v>68000</v>
      </c>
      <c r="F99" s="1812"/>
      <c r="G99" s="3363">
        <v>68000</v>
      </c>
      <c r="H99" s="3364"/>
      <c r="J99" s="1055" t="str">
        <f>IF(E99&gt;G99,"WARNING!  LIHTC Allocation Fee proposed is below minimum required.","")</f>
        <v/>
      </c>
      <c r="K99" s="363"/>
      <c r="L99" s="1580"/>
      <c r="M99" s="363"/>
      <c r="N99" s="363"/>
      <c r="O99" s="1570"/>
      <c r="P99" s="363"/>
      <c r="Q99" s="363"/>
      <c r="S99" s="3363">
        <v>68000</v>
      </c>
      <c r="T99" s="3364"/>
      <c r="V99" s="3360"/>
      <c r="W99" s="3361"/>
      <c r="X99" s="3362"/>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100" s="1812"/>
      <c r="G100" s="3363">
        <v>57600</v>
      </c>
      <c r="H100" s="3364"/>
      <c r="J100" s="1055" t="str">
        <f>IF(E100&gt;G100,"WARNING!  LIHTC Compliance Fee proposed is below minimum required.","")</f>
        <v/>
      </c>
      <c r="K100" s="280"/>
      <c r="L100" s="280"/>
      <c r="M100" s="280"/>
      <c r="N100" s="280"/>
      <c r="O100" s="280"/>
      <c r="P100" s="280"/>
      <c r="Q100" s="280"/>
      <c r="S100" s="3363">
        <v>57600</v>
      </c>
      <c r="T100" s="3364"/>
      <c r="V100" s="3360"/>
      <c r="W100" s="3361"/>
      <c r="X100" s="3362"/>
    </row>
    <row r="101" spans="1:24" s="305" customFormat="1" ht="12.6" customHeight="1">
      <c r="B101" s="305" t="s">
        <v>4294</v>
      </c>
      <c r="F101" s="1387">
        <f>'DCA Underwriting Assumptions'!$Q$90</f>
        <v>3000</v>
      </c>
      <c r="G101" s="3363"/>
      <c r="H101" s="3364"/>
      <c r="J101" s="280"/>
      <c r="K101" s="280"/>
      <c r="L101" s="280"/>
      <c r="M101" s="280"/>
      <c r="N101" s="280"/>
      <c r="O101" s="280"/>
      <c r="P101" s="280"/>
      <c r="Q101" s="280"/>
      <c r="S101" s="3363"/>
      <c r="T101" s="3364"/>
      <c r="V101" s="3360"/>
      <c r="W101" s="3361"/>
      <c r="X101" s="3362"/>
    </row>
    <row r="102" spans="1:24" s="305" customFormat="1" ht="12.6" customHeight="1">
      <c r="B102" s="305" t="s">
        <v>4295</v>
      </c>
      <c r="F102" s="1387">
        <f>'DCA Underwriting Assumptions'!$Q$111</f>
        <v>3000</v>
      </c>
      <c r="G102" s="3363">
        <v>3000</v>
      </c>
      <c r="H102" s="3364"/>
      <c r="J102" s="280"/>
      <c r="K102" s="280"/>
      <c r="L102" s="280"/>
      <c r="M102" s="280"/>
      <c r="N102" s="280"/>
      <c r="O102" s="280"/>
      <c r="P102" s="280"/>
      <c r="Q102" s="280"/>
      <c r="S102" s="3363">
        <v>3000</v>
      </c>
      <c r="T102" s="3364"/>
      <c r="V102" s="3360"/>
      <c r="W102" s="3361"/>
      <c r="X102" s="3362"/>
    </row>
    <row r="103" spans="1:24" s="305" customFormat="1" ht="12.6" customHeight="1">
      <c r="A103" s="387" t="str">
        <f>IF(AND(G103&gt;0,OR(C103="",C103="&lt;Enter detailed description here; use Comments section if needed&gt;")),"X","")</f>
        <v/>
      </c>
      <c r="B103" s="305" t="s">
        <v>749</v>
      </c>
      <c r="C103" s="3388" t="s">
        <v>3738</v>
      </c>
      <c r="D103" s="3388"/>
      <c r="E103" s="3388"/>
      <c r="F103" s="3389"/>
      <c r="G103" s="3363"/>
      <c r="H103" s="3364"/>
      <c r="J103" s="280"/>
      <c r="K103" s="280"/>
      <c r="L103" s="280"/>
      <c r="M103" s="280"/>
      <c r="N103" s="280"/>
      <c r="O103" s="280"/>
      <c r="P103" s="280"/>
      <c r="Q103" s="280"/>
      <c r="S103" s="3363"/>
      <c r="T103" s="3364"/>
      <c r="U103" s="386" t="str">
        <f>IF(AND(G103&gt;0,OR(C103="",C103="&lt;Enter detailed description here; use Comments section if needed&gt;")),"NO DESCRIPTION PROVIDED - please enter detailed description in Other box at left; use Comments section below if needed.","")</f>
        <v/>
      </c>
      <c r="V103" s="3360"/>
      <c r="W103" s="3361"/>
      <c r="X103" s="3362"/>
    </row>
    <row r="104" spans="1:24" s="305" customFormat="1" ht="12.6" customHeight="1" thickBot="1">
      <c r="A104" s="387" t="str">
        <f>IF(AND(G104&gt;0,OR(C104="",C104="&lt;Enter detailed description here; use Comments section if needed&gt;")),"X","")</f>
        <v/>
      </c>
      <c r="B104" s="305" t="s">
        <v>749</v>
      </c>
      <c r="C104" s="3390" t="s">
        <v>3738</v>
      </c>
      <c r="D104" s="3390"/>
      <c r="E104" s="3390"/>
      <c r="F104" s="3391"/>
      <c r="G104" s="3392"/>
      <c r="H104" s="3393"/>
      <c r="J104" s="280"/>
      <c r="K104" s="280"/>
      <c r="L104" s="280"/>
      <c r="M104" s="280"/>
      <c r="N104" s="280"/>
      <c r="O104" s="280"/>
      <c r="P104" s="280"/>
      <c r="Q104" s="280"/>
      <c r="S104" s="3392"/>
      <c r="T104" s="3393"/>
      <c r="U104" s="386" t="str">
        <f>IF(AND(G104&gt;0,OR(C104="",C104="&lt;Enter detailed description here; use Comments section if needed&gt;")),"NO DESCRIPTION PROVIDED - please enter detailed description in Other box at left; use Comments section below if needed.","")</f>
        <v/>
      </c>
      <c r="V104" s="3360"/>
      <c r="W104" s="3370"/>
      <c r="X104" s="3371"/>
    </row>
    <row r="105" spans="1:24" s="305" customFormat="1" ht="12.6" customHeight="1" thickTop="1">
      <c r="F105" s="361" t="s">
        <v>193</v>
      </c>
      <c r="G105" s="1800">
        <f>SUM(G96:H104)</f>
        <v>135100</v>
      </c>
      <c r="H105" s="1801"/>
      <c r="J105" s="363"/>
      <c r="K105" s="363"/>
      <c r="L105" s="1580"/>
      <c r="M105" s="363"/>
      <c r="N105" s="363"/>
      <c r="P105" s="363"/>
      <c r="Q105" s="363"/>
      <c r="S105" s="1800">
        <f>SUM(S96:T104)</f>
        <v>135100</v>
      </c>
      <c r="T105" s="1801"/>
      <c r="V105" s="3372">
        <f>SUM(V96:V104)</f>
        <v>0</v>
      </c>
      <c r="W105" s="3397"/>
      <c r="X105" s="3398"/>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8">
        <v>3000</v>
      </c>
      <c r="H107" s="3359"/>
      <c r="J107" s="1804"/>
      <c r="K107" s="1804"/>
      <c r="L107" s="1580"/>
      <c r="M107" s="1804"/>
      <c r="N107" s="1804"/>
      <c r="O107" s="1570"/>
      <c r="P107" s="1804"/>
      <c r="Q107" s="1804"/>
      <c r="S107" s="3358">
        <v>3000</v>
      </c>
      <c r="T107" s="3359"/>
      <c r="V107" s="3360"/>
      <c r="W107" s="3361"/>
      <c r="X107" s="3362"/>
    </row>
    <row r="108" spans="1:24" s="305" customFormat="1" ht="12.6" customHeight="1">
      <c r="B108" s="305" t="s">
        <v>282</v>
      </c>
      <c r="G108" s="3363">
        <v>5000</v>
      </c>
      <c r="H108" s="3364"/>
      <c r="J108" s="1804"/>
      <c r="K108" s="1804"/>
      <c r="L108" s="1580"/>
      <c r="M108" s="1804"/>
      <c r="N108" s="1804"/>
      <c r="O108" s="1570"/>
      <c r="P108" s="1804"/>
      <c r="Q108" s="1804"/>
      <c r="S108" s="3363">
        <v>5000</v>
      </c>
      <c r="T108" s="3364"/>
      <c r="V108" s="3360"/>
      <c r="W108" s="3361"/>
      <c r="X108" s="3362"/>
    </row>
    <row r="109" spans="1:24" s="305" customFormat="1" ht="12.6" customHeight="1">
      <c r="B109" s="305" t="s">
        <v>2402</v>
      </c>
      <c r="G109" s="3363"/>
      <c r="H109" s="3364"/>
      <c r="J109" s="1804"/>
      <c r="K109" s="1804"/>
      <c r="L109" s="1580"/>
      <c r="M109" s="1804"/>
      <c r="N109" s="1804"/>
      <c r="O109" s="1570"/>
      <c r="P109" s="1804"/>
      <c r="Q109" s="1804"/>
      <c r="S109" s="3363"/>
      <c r="T109" s="3364"/>
      <c r="V109" s="3360"/>
      <c r="W109" s="3361"/>
      <c r="X109" s="3362"/>
    </row>
    <row r="110" spans="1:24" s="305" customFormat="1" ht="12.6" customHeight="1" thickBot="1">
      <c r="A110" s="387" t="str">
        <f>IF(AND(G110&gt;0,OR(C110="",C110="&lt;Enter detailed description here; use Comments section if needed&gt;")),"X","")</f>
        <v/>
      </c>
      <c r="B110" s="305" t="s">
        <v>749</v>
      </c>
      <c r="C110" s="3365" t="s">
        <v>3738</v>
      </c>
      <c r="D110" s="3365"/>
      <c r="E110" s="3365"/>
      <c r="F110" s="3366"/>
      <c r="G110" s="3392"/>
      <c r="H110" s="3393"/>
      <c r="J110" s="1804"/>
      <c r="K110" s="1804"/>
      <c r="L110" s="1580"/>
      <c r="M110" s="1804"/>
      <c r="N110" s="1804"/>
      <c r="O110" s="1570"/>
      <c r="P110" s="1804"/>
      <c r="Q110" s="1804"/>
      <c r="S110" s="3392"/>
      <c r="T110" s="3393"/>
      <c r="U110" s="386" t="str">
        <f>IF(AND(G110&gt;0,OR(C110="",C110="&lt;Enter detailed description here; use Comments section if needed&gt;")),"NO DESCRIPTION PROVIDED - please enter detailed description in Other box at left; use Comments section below if needed.","")</f>
        <v/>
      </c>
      <c r="V110" s="3360"/>
      <c r="W110" s="3370"/>
      <c r="X110" s="3371"/>
    </row>
    <row r="111" spans="1:24" s="305" customFormat="1" ht="12.6" customHeight="1" thickTop="1">
      <c r="F111" s="361" t="s">
        <v>193</v>
      </c>
      <c r="G111" s="1800">
        <f>SUM(G107:H110)</f>
        <v>8000</v>
      </c>
      <c r="H111" s="1801"/>
      <c r="J111" s="1804"/>
      <c r="K111" s="1804"/>
      <c r="L111" s="1580"/>
      <c r="M111" s="1804"/>
      <c r="N111" s="1804"/>
      <c r="O111" s="1570"/>
      <c r="P111" s="1804"/>
      <c r="Q111" s="1804"/>
      <c r="S111" s="1800">
        <f>SUM(S107:T110)</f>
        <v>8000</v>
      </c>
      <c r="T111" s="1801"/>
      <c r="V111" s="3372">
        <f>SUM(V107:V110)</f>
        <v>0</v>
      </c>
      <c r="W111" s="3373"/>
      <c r="X111" s="3374"/>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3399">
        <v>314000</v>
      </c>
      <c r="H113" s="3399"/>
      <c r="J113" s="3400">
        <v>314000</v>
      </c>
      <c r="K113" s="3401"/>
      <c r="L113" s="362"/>
      <c r="M113" s="3400"/>
      <c r="N113" s="3401"/>
      <c r="P113" s="3400"/>
      <c r="Q113" s="3401"/>
      <c r="S113" s="3400"/>
      <c r="T113" s="3401"/>
      <c r="V113" s="3360"/>
      <c r="W113" s="3361"/>
      <c r="X113" s="3362"/>
    </row>
    <row r="114" spans="1:24" s="305" customFormat="1" ht="12.6" customHeight="1">
      <c r="B114" s="305" t="s">
        <v>4247</v>
      </c>
      <c r="F114" s="3402"/>
      <c r="V114" s="3360"/>
      <c r="W114" s="3361"/>
      <c r="X114" s="3362"/>
    </row>
    <row r="115" spans="1:24" s="305" customFormat="1" ht="12.6" customHeight="1">
      <c r="B115" s="305" t="s">
        <v>1875</v>
      </c>
      <c r="F115" s="412">
        <f>IF($G$118=0,0,G115/$G$118)</f>
        <v>0</v>
      </c>
      <c r="G115" s="3358"/>
      <c r="H115" s="3359"/>
      <c r="J115" s="3358"/>
      <c r="K115" s="3359"/>
      <c r="L115" s="1580"/>
      <c r="M115" s="3358"/>
      <c r="N115" s="3359"/>
      <c r="P115" s="3358"/>
      <c r="Q115" s="3359"/>
      <c r="S115" s="3358"/>
      <c r="T115" s="3359"/>
      <c r="V115" s="3360"/>
      <c r="W115" s="3361"/>
      <c r="X115" s="3362"/>
    </row>
    <row r="116" spans="1:24" s="305" customFormat="1" ht="12.6" customHeight="1">
      <c r="B116" s="305" t="s">
        <v>3659</v>
      </c>
      <c r="F116" s="412">
        <f>IF($G$118=0,0,G116/$G$118)</f>
        <v>0</v>
      </c>
      <c r="G116" s="3363"/>
      <c r="H116" s="3364"/>
      <c r="J116" s="3363"/>
      <c r="K116" s="3364"/>
      <c r="L116" s="1580"/>
      <c r="M116" s="3363"/>
      <c r="N116" s="3364"/>
      <c r="P116" s="3363"/>
      <c r="Q116" s="3364"/>
      <c r="S116" s="3363"/>
      <c r="T116" s="3364"/>
      <c r="V116" s="3360"/>
      <c r="W116" s="3361"/>
      <c r="X116" s="3362"/>
    </row>
    <row r="117" spans="1:24" s="305" customFormat="1" ht="12.6" customHeight="1" thickBot="1">
      <c r="B117" s="305" t="s">
        <v>1867</v>
      </c>
      <c r="F117" s="412">
        <f>IF($G$118=0,0,G117/$G$118)</f>
        <v>0.8</v>
      </c>
      <c r="G117" s="3392">
        <v>1256000</v>
      </c>
      <c r="H117" s="3393"/>
      <c r="J117" s="3392">
        <v>1256000</v>
      </c>
      <c r="K117" s="3393"/>
      <c r="L117" s="1580"/>
      <c r="M117" s="3392"/>
      <c r="N117" s="3393"/>
      <c r="P117" s="3392"/>
      <c r="Q117" s="3393"/>
      <c r="S117" s="3392"/>
      <c r="T117" s="3393"/>
      <c r="V117" s="3360"/>
      <c r="W117" s="3370"/>
      <c r="X117" s="3371"/>
    </row>
    <row r="118" spans="1:24" s="305" customFormat="1" ht="12.6" customHeight="1" thickTop="1">
      <c r="C118" s="386"/>
      <c r="F118" s="361" t="s">
        <v>193</v>
      </c>
      <c r="G118" s="1800">
        <f>SUM(G113:H117)</f>
        <v>1570000</v>
      </c>
      <c r="H118" s="1801"/>
      <c r="J118" s="1800">
        <f>SUM(J113:K117)</f>
        <v>1570000</v>
      </c>
      <c r="K118" s="1801"/>
      <c r="L118" s="1580"/>
      <c r="M118" s="1800">
        <f>SUM(M113:N117)</f>
        <v>0</v>
      </c>
      <c r="N118" s="1801"/>
      <c r="P118" s="1800">
        <f>SUM(P113:Q117)</f>
        <v>0</v>
      </c>
      <c r="Q118" s="1801"/>
      <c r="S118" s="1800">
        <f>SUM(S113:T117)</f>
        <v>0</v>
      </c>
      <c r="T118" s="1801"/>
      <c r="V118" s="3372">
        <f>SUM(V113:V117)</f>
        <v>0</v>
      </c>
      <c r="W118" s="3373"/>
      <c r="X118" s="3374"/>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8">
        <v>20000</v>
      </c>
      <c r="H120" s="3359"/>
      <c r="J120" s="371"/>
      <c r="K120" s="371"/>
      <c r="L120" s="371"/>
      <c r="M120" s="371"/>
      <c r="N120" s="371"/>
      <c r="P120" s="371"/>
      <c r="Q120" s="371"/>
      <c r="S120" s="3358">
        <v>20000</v>
      </c>
      <c r="T120" s="3359"/>
      <c r="V120" s="3360"/>
      <c r="W120" s="3361"/>
      <c r="X120" s="3362"/>
    </row>
    <row r="121" spans="1:24" s="305" customFormat="1" ht="12.6" customHeight="1">
      <c r="B121" s="305" t="s">
        <v>1548</v>
      </c>
      <c r="F121" s="513">
        <f>+'Part VI-Revenues &amp; Expenses'!$P$175*('DCA Underwriting Assumptions'!$Q$110/12)</f>
        <v>84150</v>
      </c>
      <c r="G121" s="3363">
        <v>84150</v>
      </c>
      <c r="H121" s="3364"/>
      <c r="J121" s="1057" t="str">
        <f>IF(E121&gt;G121,"WARNING! Rent-Up Reserves proposed is below minimum - add comment.","")</f>
        <v/>
      </c>
      <c r="K121" s="1057"/>
      <c r="L121" s="1580"/>
      <c r="M121" s="1030"/>
      <c r="N121" s="1030"/>
      <c r="O121" s="1570"/>
      <c r="P121" s="1030"/>
      <c r="Q121" s="1030"/>
      <c r="R121" s="1570"/>
      <c r="S121" s="3363">
        <v>84150</v>
      </c>
      <c r="T121" s="3364"/>
      <c r="V121" s="3360"/>
      <c r="W121" s="3361"/>
      <c r="X121" s="3362"/>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245665.54219856631</v>
      </c>
      <c r="G122" s="3363">
        <v>246829.20055012868</v>
      </c>
      <c r="H122" s="3364"/>
      <c r="J122" s="1057" t="str">
        <f>IF(E122&gt;G122,"WARNING! ODR proposed is below minimum - add comment.","")</f>
        <v/>
      </c>
      <c r="K122" s="370"/>
      <c r="L122" s="370"/>
      <c r="M122" s="370"/>
      <c r="N122" s="370"/>
      <c r="O122" s="1570"/>
      <c r="P122" s="370"/>
      <c r="Q122" s="370"/>
      <c r="R122" s="1570"/>
      <c r="S122" s="3363">
        <v>246829.20055012868</v>
      </c>
      <c r="T122" s="3364"/>
      <c r="V122" s="3360"/>
      <c r="W122" s="3361"/>
      <c r="X122" s="3362"/>
    </row>
    <row r="123" spans="1:24" s="305" customFormat="1" ht="12.6" customHeight="1">
      <c r="B123" s="305" t="s">
        <v>1256</v>
      </c>
      <c r="G123" s="3363">
        <v>8000</v>
      </c>
      <c r="H123" s="3364"/>
      <c r="J123" s="371"/>
      <c r="K123" s="371"/>
      <c r="L123" s="371"/>
      <c r="M123" s="371"/>
      <c r="N123" s="371"/>
      <c r="P123" s="371"/>
      <c r="Q123" s="371"/>
      <c r="S123" s="3363">
        <v>8000</v>
      </c>
      <c r="T123" s="3364"/>
      <c r="V123" s="3360"/>
      <c r="W123" s="3361"/>
      <c r="X123" s="3362"/>
    </row>
    <row r="124" spans="1:24" s="305" customFormat="1" ht="12.6" customHeight="1">
      <c r="B124" s="305" t="s">
        <v>1257</v>
      </c>
      <c r="E124" s="901" t="s">
        <v>3590</v>
      </c>
      <c r="F124" s="481">
        <f>IF('Part VI-Revenues &amp; Expenses'!$O$62=0,0,G124/'Part VI-Revenues &amp; Expenses'!$O$62)</f>
        <v>793.05555555555554</v>
      </c>
      <c r="G124" s="3363">
        <v>57100</v>
      </c>
      <c r="H124" s="3364"/>
      <c r="J124" s="3358">
        <v>57100</v>
      </c>
      <c r="K124" s="3359"/>
      <c r="L124" s="1580"/>
      <c r="M124" s="3358"/>
      <c r="N124" s="3359"/>
      <c r="P124" s="3358"/>
      <c r="Q124" s="3359"/>
      <c r="S124" s="3363"/>
      <c r="T124" s="3364"/>
      <c r="V124" s="3360"/>
      <c r="W124" s="3361"/>
      <c r="X124" s="3362"/>
    </row>
    <row r="125" spans="1:24" s="305" customFormat="1" ht="12.6" customHeight="1" thickBot="1">
      <c r="A125" s="387" t="str">
        <f>IF(AND(G125&gt;0,OR(C125="",C125="&lt;Enter detailed description here; use Comments section if needed&gt;")),"X","")</f>
        <v/>
      </c>
      <c r="B125" s="305" t="s">
        <v>749</v>
      </c>
      <c r="C125" s="3365" t="s">
        <v>3738</v>
      </c>
      <c r="D125" s="3365"/>
      <c r="E125" s="3365"/>
      <c r="F125" s="3366"/>
      <c r="G125" s="3392"/>
      <c r="H125" s="3393"/>
      <c r="J125" s="3368"/>
      <c r="K125" s="3369"/>
      <c r="L125" s="1580"/>
      <c r="M125" s="3392"/>
      <c r="N125" s="3393"/>
      <c r="P125" s="3392"/>
      <c r="Q125" s="3393"/>
      <c r="S125" s="3392"/>
      <c r="T125" s="3393"/>
      <c r="U125" s="386" t="str">
        <f>IF(AND(G125&gt;0,OR(C125="",C125="&lt;Enter detailed description here; use Comments section if needed&gt;")),"NO DESCRIPTION PROVIDED - please enter detailed description in Other box at left; use Comments section below if needed.","")</f>
        <v/>
      </c>
      <c r="V125" s="3360"/>
      <c r="W125" s="3370"/>
      <c r="X125" s="3371"/>
    </row>
    <row r="126" spans="1:24" s="305" customFormat="1" ht="12.6" customHeight="1" thickTop="1">
      <c r="B126" s="372"/>
      <c r="F126" s="361" t="s">
        <v>193</v>
      </c>
      <c r="G126" s="1800">
        <f>SUM(G120:H125)</f>
        <v>416079.20055012871</v>
      </c>
      <c r="H126" s="1801"/>
      <c r="J126" s="1800">
        <f>SUM(J124:K125)</f>
        <v>57100</v>
      </c>
      <c r="K126" s="1801"/>
      <c r="L126" s="1580"/>
      <c r="M126" s="1800">
        <f>SUM(M124:N125)</f>
        <v>0</v>
      </c>
      <c r="N126" s="1801"/>
      <c r="P126" s="1800">
        <f>SUM(P124:Q125)</f>
        <v>0</v>
      </c>
      <c r="Q126" s="1801"/>
      <c r="S126" s="1800">
        <f>SUM(S120:T125)</f>
        <v>358979.20055012871</v>
      </c>
      <c r="T126" s="1801"/>
      <c r="V126" s="3372">
        <f>SUM(V120:V125)</f>
        <v>0</v>
      </c>
      <c r="W126" s="3373"/>
      <c r="X126" s="3374"/>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8">
        <v>13752</v>
      </c>
      <c r="H128" s="3359"/>
      <c r="J128" s="3358"/>
      <c r="K128" s="3359"/>
      <c r="L128" s="362"/>
      <c r="M128" s="3358"/>
      <c r="N128" s="3359"/>
      <c r="P128" s="3358"/>
      <c r="Q128" s="3359"/>
      <c r="S128" s="3358">
        <v>13752</v>
      </c>
      <c r="T128" s="3359"/>
      <c r="V128" s="3360"/>
      <c r="W128" s="3361"/>
      <c r="X128" s="3362"/>
    </row>
    <row r="129" spans="1:24" s="305" customFormat="1" ht="12.6" customHeight="1" thickBot="1">
      <c r="A129" s="387" t="str">
        <f>IF(AND(G129&gt;0,OR(C129="",C129="&lt;Enter detailed description here; use Comments section if needed&gt;")),"X","")</f>
        <v/>
      </c>
      <c r="B129" s="305" t="s">
        <v>749</v>
      </c>
      <c r="C129" s="3365" t="s">
        <v>3738</v>
      </c>
      <c r="D129" s="3365"/>
      <c r="E129" s="3365"/>
      <c r="F129" s="3366"/>
      <c r="G129" s="3392"/>
      <c r="H129" s="3393"/>
      <c r="J129" s="3392"/>
      <c r="K129" s="3393"/>
      <c r="L129" s="1580"/>
      <c r="M129" s="3392"/>
      <c r="N129" s="3393"/>
      <c r="P129" s="3392"/>
      <c r="Q129" s="3393"/>
      <c r="S129" s="3392"/>
      <c r="T129" s="3393"/>
      <c r="U129" s="386" t="str">
        <f>IF(AND(G129&gt;0,OR(C129="",C129="&lt;Enter detailed description here; use Comments section if needed&gt;")),"NO DESCRIPTION PROVIDED - please enter detailed description in Other box at left; use Comments section below if needed.","")</f>
        <v/>
      </c>
      <c r="V129" s="3360"/>
      <c r="W129" s="3370"/>
      <c r="X129" s="3371"/>
    </row>
    <row r="130" spans="1:24" s="305" customFormat="1" ht="12.6" customHeight="1" thickTop="1">
      <c r="C130" s="1559"/>
      <c r="F130" s="361" t="s">
        <v>193</v>
      </c>
      <c r="G130" s="1800">
        <f>SUM(G128:H129)</f>
        <v>13752</v>
      </c>
      <c r="H130" s="1801"/>
      <c r="J130" s="1800">
        <f>SUM(J128:K129)</f>
        <v>0</v>
      </c>
      <c r="K130" s="1801"/>
      <c r="L130" s="1580"/>
      <c r="M130" s="1800">
        <f>SUM(M128:N129)</f>
        <v>0</v>
      </c>
      <c r="N130" s="1801"/>
      <c r="P130" s="1800">
        <f>SUM(P128:Q129)</f>
        <v>0</v>
      </c>
      <c r="Q130" s="1801"/>
      <c r="S130" s="1800">
        <f>SUM(S128:T129)</f>
        <v>13752</v>
      </c>
      <c r="T130" s="1801"/>
      <c r="V130" s="3372">
        <f>SUM(V128:V129)</f>
        <v>0</v>
      </c>
      <c r="W130" s="3373"/>
      <c r="X130" s="3374"/>
    </row>
    <row r="131" spans="1:24" s="305" customFormat="1" ht="3" customHeight="1" thickBot="1">
      <c r="C131" s="1559"/>
      <c r="H131" s="368"/>
      <c r="I131" s="368"/>
      <c r="L131" s="1570"/>
      <c r="V131" s="1176"/>
      <c r="W131" s="3403"/>
      <c r="X131" s="3404"/>
    </row>
    <row r="132" spans="1:24" s="305" customFormat="1" ht="13.9" customHeight="1" thickBot="1">
      <c r="B132" s="311" t="s">
        <v>2786</v>
      </c>
      <c r="G132" s="1802">
        <f>G17+G23+G27+G33+G38+G41+G47+G64+G77+G83+G91+G105+G111+G118+G126+G130</f>
        <v>13449266.200550128</v>
      </c>
      <c r="H132" s="1803"/>
      <c r="J132" s="1802">
        <f>J17+J23+J27+J33+J38+J41+J47+J64+J77+J83+J91+J105+J111+J118+J126+J130</f>
        <v>11596198</v>
      </c>
      <c r="K132" s="1803"/>
      <c r="M132" s="1802">
        <f>M17+M23+M27+M33+M38+M41+M47+M64+M77+M83+M91+M105+M111+M118+M126+M130</f>
        <v>0</v>
      </c>
      <c r="N132" s="1803"/>
      <c r="P132" s="1802">
        <f>P17+P23+P27+P33+P38+P41+P47+P64+P77+P83+P91+P105+P111+P118+P126+P130</f>
        <v>0</v>
      </c>
      <c r="Q132" s="1803"/>
      <c r="S132" s="1802">
        <f>S17+S23+S27+S33+S38+S41+S47+S64+S77+S83+S91+S105+S111+S118+S126+S130</f>
        <v>1853070.2005501287</v>
      </c>
      <c r="T132" s="1803"/>
      <c r="V132" s="3405">
        <f>V17+V23+V27+V33+V38+V41+V47+V64+V77+V83+V91+V105+V111+V118+V126+V130</f>
        <v>0</v>
      </c>
      <c r="W132" s="3406"/>
      <c r="X132" s="3374"/>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186795.36389652954</v>
      </c>
      <c r="E134" s="1793"/>
      <c r="F134" s="523" t="s">
        <v>2781</v>
      </c>
      <c r="G134" s="1794">
        <f>IF('Part I-Project Information'!$P$71=0,0,G132/'Part I-Project Information'!$P$71)</f>
        <v>198.89479740535535</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7"/>
      <c r="K140" s="3408"/>
      <c r="P140" s="3407"/>
      <c r="Q140" s="3408"/>
      <c r="V140" s="3360"/>
      <c r="W140" s="3361"/>
      <c r="X140" s="3362"/>
    </row>
    <row r="141" spans="1:24" s="305" customFormat="1" ht="13.9" customHeight="1">
      <c r="B141" s="1570" t="s">
        <v>2168</v>
      </c>
      <c r="D141" s="1570"/>
      <c r="E141" s="1570"/>
      <c r="F141" s="1570"/>
      <c r="G141" s="1570"/>
      <c r="H141" s="1570"/>
      <c r="I141" s="375"/>
      <c r="J141" s="3409"/>
      <c r="K141" s="3410"/>
      <c r="P141" s="3409"/>
      <c r="Q141" s="3410"/>
      <c r="V141" s="3360"/>
      <c r="W141" s="3361"/>
      <c r="X141" s="3362"/>
    </row>
    <row r="142" spans="1:24" s="305" customFormat="1" ht="13.9" customHeight="1">
      <c r="B142" s="1570" t="s">
        <v>1877</v>
      </c>
      <c r="D142" s="1570"/>
      <c r="E142" s="1570"/>
      <c r="I142" s="375"/>
      <c r="J142" s="3409"/>
      <c r="K142" s="3410"/>
      <c r="P142" s="3409"/>
      <c r="Q142" s="3410"/>
      <c r="V142" s="3360"/>
      <c r="W142" s="3361"/>
      <c r="X142" s="3362"/>
    </row>
    <row r="143" spans="1:24" s="305" customFormat="1" ht="13.9" customHeight="1">
      <c r="B143" s="1570" t="s">
        <v>1878</v>
      </c>
      <c r="D143" s="1570"/>
      <c r="E143" s="1570"/>
      <c r="I143" s="375"/>
      <c r="J143" s="3409"/>
      <c r="K143" s="3410"/>
      <c r="P143" s="3409"/>
      <c r="Q143" s="3410"/>
      <c r="V143" s="3360"/>
      <c r="W143" s="3361"/>
      <c r="X143" s="3362"/>
    </row>
    <row r="144" spans="1:24" s="305" customFormat="1" ht="13.9" customHeight="1">
      <c r="B144" s="1570" t="s">
        <v>256</v>
      </c>
      <c r="D144" s="1570"/>
      <c r="E144" s="1570"/>
      <c r="I144" s="375"/>
      <c r="J144" s="3409"/>
      <c r="K144" s="3410"/>
      <c r="P144" s="3409"/>
      <c r="Q144" s="3410"/>
      <c r="V144" s="3360"/>
      <c r="W144" s="3361"/>
      <c r="X144" s="3362"/>
    </row>
    <row r="145" spans="1:24" s="305" customFormat="1" ht="13.9" customHeight="1" thickBot="1">
      <c r="B145" s="1570" t="s">
        <v>1613</v>
      </c>
      <c r="C145" s="3411" t="s">
        <v>2431</v>
      </c>
      <c r="D145" s="3411"/>
      <c r="E145" s="3411"/>
      <c r="F145" s="3411"/>
      <c r="G145" s="3411"/>
      <c r="H145" s="3411"/>
      <c r="I145" s="3412"/>
      <c r="J145" s="3413"/>
      <c r="K145" s="3414"/>
      <c r="P145" s="3413"/>
      <c r="Q145" s="3414"/>
      <c r="V145" s="3360"/>
      <c r="W145" s="3370"/>
      <c r="X145" s="3371"/>
    </row>
    <row r="146" spans="1:24" s="305" customFormat="1" ht="13.9" customHeight="1" thickBot="1">
      <c r="B146" s="316" t="s">
        <v>1879</v>
      </c>
      <c r="C146" s="319"/>
      <c r="J146" s="1702">
        <f>SUM(J140:K145)</f>
        <v>0</v>
      </c>
      <c r="K146" s="1703"/>
      <c r="P146" s="1702">
        <f>SUM(P140:Q145)</f>
        <v>0</v>
      </c>
      <c r="Q146" s="1703"/>
      <c r="V146" s="3372">
        <f>SUM(V140:V145)</f>
        <v>0</v>
      </c>
      <c r="W146" s="3373"/>
      <c r="X146" s="3374"/>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11596198</v>
      </c>
      <c r="K149" s="1790"/>
      <c r="M149" s="1791">
        <f>M132</f>
        <v>0</v>
      </c>
      <c r="N149" s="1792"/>
      <c r="P149" s="1789">
        <f>P132</f>
        <v>0</v>
      </c>
      <c r="Q149" s="1790"/>
      <c r="V149" s="3360"/>
      <c r="W149" s="3361"/>
      <c r="X149" s="3362"/>
    </row>
    <row r="150" spans="1:24" s="305" customFormat="1" ht="13.9" customHeight="1">
      <c r="B150" s="305" t="s">
        <v>2236</v>
      </c>
      <c r="J150" s="1762">
        <f>J146</f>
        <v>0</v>
      </c>
      <c r="K150" s="1763"/>
      <c r="M150" s="1771"/>
      <c r="N150" s="1771"/>
      <c r="P150" s="1762">
        <f>P146</f>
        <v>0</v>
      </c>
      <c r="Q150" s="1763"/>
      <c r="V150" s="3360"/>
      <c r="W150" s="3361"/>
      <c r="X150" s="3362"/>
    </row>
    <row r="151" spans="1:24" s="305" customFormat="1" ht="13.9" customHeight="1">
      <c r="B151" s="305" t="s">
        <v>2237</v>
      </c>
      <c r="J151" s="1762">
        <f>J149-J150</f>
        <v>11596198</v>
      </c>
      <c r="K151" s="1763"/>
      <c r="M151" s="1762">
        <f>M149</f>
        <v>0</v>
      </c>
      <c r="N151" s="1763"/>
      <c r="P151" s="1762">
        <f>P149-P150</f>
        <v>0</v>
      </c>
      <c r="Q151" s="1763"/>
      <c r="V151" s="3360"/>
      <c r="W151" s="3361"/>
      <c r="X151" s="3362"/>
    </row>
    <row r="152" spans="1:24" s="305" customFormat="1" ht="13.9" customHeight="1">
      <c r="B152" s="305" t="s">
        <v>1497</v>
      </c>
      <c r="G152" s="1561" t="s">
        <v>1727</v>
      </c>
      <c r="H152" s="3415" t="s">
        <v>1784</v>
      </c>
      <c r="I152" s="3416"/>
      <c r="J152" s="3417">
        <v>1</v>
      </c>
      <c r="K152" s="3418"/>
      <c r="M152" s="1784"/>
      <c r="N152" s="1784"/>
      <c r="P152" s="3417"/>
      <c r="Q152" s="3418"/>
      <c r="V152" s="3360"/>
      <c r="W152" s="3361"/>
      <c r="X152" s="3362"/>
    </row>
    <row r="153" spans="1:24" s="305" customFormat="1" ht="13.9" customHeight="1">
      <c r="B153" s="305" t="s">
        <v>2070</v>
      </c>
      <c r="J153" s="1762">
        <f>J151*J152</f>
        <v>11596198</v>
      </c>
      <c r="K153" s="1763"/>
      <c r="M153" s="1762">
        <f>+M151</f>
        <v>0</v>
      </c>
      <c r="N153" s="1763"/>
      <c r="P153" s="1762">
        <f>P151*P152</f>
        <v>0</v>
      </c>
      <c r="Q153" s="1763"/>
      <c r="V153" s="3360"/>
      <c r="W153" s="3361"/>
      <c r="X153" s="3362"/>
    </row>
    <row r="154" spans="1:24" s="305" customFormat="1" ht="13.9" customHeight="1">
      <c r="B154" s="305" t="s">
        <v>2558</v>
      </c>
      <c r="J154" s="1785">
        <f>MIN('Part VI-Revenues &amp; Expenses'!$O$58/'Part VI-Revenues &amp; Expenses'!$O$60,'Part VI-Revenues &amp; Expenses'!$O$115/'Part VI-Revenues &amp; Expenses'!$O$117)</f>
        <v>0.86039296794208897</v>
      </c>
      <c r="K154" s="1786"/>
      <c r="M154" s="1785">
        <f>MIN('Part VI-Revenues &amp; Expenses'!$O$58/'Part VI-Revenues &amp; Expenses'!$O$60,'Part VI-Revenues &amp; Expenses'!$O$115/'Part VI-Revenues &amp; Expenses'!$O$117)</f>
        <v>0.86039296794208897</v>
      </c>
      <c r="N154" s="1786"/>
      <c r="P154" s="1785">
        <f>MIN('Part VI-Revenues &amp; Expenses'!$O$58/'Part VI-Revenues &amp; Expenses'!$O$60,'Part VI-Revenues &amp; Expenses'!$O$115/'Part VI-Revenues &amp; Expenses'!$O$117)</f>
        <v>0.86039296794208897</v>
      </c>
      <c r="Q154" s="1786"/>
      <c r="V154" s="3360"/>
      <c r="W154" s="3361"/>
      <c r="X154" s="3362"/>
    </row>
    <row r="155" spans="1:24" s="305" customFormat="1" ht="13.9" customHeight="1">
      <c r="B155" s="305" t="s">
        <v>2061</v>
      </c>
      <c r="J155" s="1762">
        <f>J153*J154</f>
        <v>9977287.2140641157</v>
      </c>
      <c r="K155" s="1763"/>
      <c r="M155" s="1762">
        <f>M153*M154</f>
        <v>0</v>
      </c>
      <c r="N155" s="1763"/>
      <c r="P155" s="1762">
        <f>P153*P154</f>
        <v>0</v>
      </c>
      <c r="Q155" s="1763"/>
      <c r="V155" s="3360"/>
      <c r="W155" s="3361"/>
      <c r="X155" s="3362"/>
    </row>
    <row r="156" spans="1:24" s="305" customFormat="1" ht="13.9" customHeight="1">
      <c r="B156" s="305" t="s">
        <v>2062</v>
      </c>
      <c r="J156" s="3417">
        <v>0.09</v>
      </c>
      <c r="K156" s="3418"/>
      <c r="M156" s="3417">
        <v>3.2800000000000003E-2</v>
      </c>
      <c r="N156" s="3418"/>
      <c r="P156" s="3417"/>
      <c r="Q156" s="3418"/>
      <c r="V156" s="3360"/>
      <c r="W156" s="3361"/>
      <c r="X156" s="3362"/>
    </row>
    <row r="157" spans="1:24" s="305" customFormat="1" ht="13.9" customHeight="1" thickBot="1">
      <c r="B157" s="305" t="s">
        <v>2559</v>
      </c>
      <c r="J157" s="1787">
        <f>J155*J156</f>
        <v>897955.8492657704</v>
      </c>
      <c r="K157" s="1788"/>
      <c r="M157" s="1787">
        <f>M155*M156</f>
        <v>0</v>
      </c>
      <c r="N157" s="1788"/>
      <c r="P157" s="1787">
        <f>P155*P156</f>
        <v>0</v>
      </c>
      <c r="Q157" s="1788"/>
      <c r="V157" s="3419"/>
      <c r="W157" s="3370"/>
      <c r="X157" s="3371"/>
    </row>
    <row r="158" spans="1:24" s="305" customFormat="1" ht="13.9" customHeight="1" thickBot="1">
      <c r="B158" s="307" t="s">
        <v>1436</v>
      </c>
      <c r="J158" s="1702">
        <f>J157+M157+P157</f>
        <v>897955.8492657704</v>
      </c>
      <c r="K158" s="1767"/>
      <c r="L158" s="1767"/>
      <c r="M158" s="1767"/>
      <c r="N158" s="1767"/>
      <c r="O158" s="1767"/>
      <c r="P158" s="1767"/>
      <c r="Q158" s="1703"/>
      <c r="V158" s="3372"/>
      <c r="W158" s="3397"/>
      <c r="X158" s="3398"/>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13450872</v>
      </c>
      <c r="K162" s="1782"/>
      <c r="L162" s="1783"/>
      <c r="M162" s="1756" t="s">
        <v>2764</v>
      </c>
      <c r="N162" s="1757"/>
      <c r="O162" s="1757"/>
      <c r="P162" s="1757"/>
      <c r="Q162" s="1757"/>
      <c r="R162" s="1758"/>
      <c r="S162" s="1756" t="s">
        <v>3700</v>
      </c>
      <c r="T162" s="1758"/>
      <c r="V162" s="3360"/>
      <c r="W162" s="3361"/>
      <c r="X162" s="3362"/>
    </row>
    <row r="163" spans="1:24" s="305" customFormat="1" ht="13.9" customHeight="1">
      <c r="B163" s="305" t="s">
        <v>2766</v>
      </c>
      <c r="J163" s="3420">
        <f>MIN(G132,J162,(G132-O165))</f>
        <v>13449266.200550128</v>
      </c>
      <c r="K163" s="3421"/>
      <c r="L163" s="3422"/>
      <c r="M163" s="1759"/>
      <c r="N163" s="1760"/>
      <c r="O163" s="1760"/>
      <c r="P163" s="1760"/>
      <c r="Q163" s="1760"/>
      <c r="R163" s="1761"/>
      <c r="S163" s="1759"/>
      <c r="T163" s="1761"/>
      <c r="V163" s="3360"/>
      <c r="W163" s="3361"/>
      <c r="X163" s="3362"/>
    </row>
    <row r="164" spans="1:24" s="305" customFormat="1" ht="13.9" customHeight="1">
      <c r="B164" s="305" t="s">
        <v>265</v>
      </c>
      <c r="J164" s="1762">
        <f>'Part III-Sources of Funds'!$I$58-'Part III-Sources of Funds'!$I$41-'Part III-Sources of Funds'!$I$42-'Part III-Sources of Funds'!$I$49-'Part III-Sources of Funds'!$I$50</f>
        <v>2500110</v>
      </c>
      <c r="K164" s="1771"/>
      <c r="L164" s="1772"/>
      <c r="M164" s="1759"/>
      <c r="N164" s="1760"/>
      <c r="O164" s="1760"/>
      <c r="P164" s="1760"/>
      <c r="Q164" s="1760"/>
      <c r="R164" s="1761"/>
      <c r="S164" s="1759"/>
      <c r="T164" s="1761"/>
      <c r="V164" s="3360"/>
      <c r="W164" s="3361"/>
      <c r="X164" s="3362"/>
    </row>
    <row r="165" spans="1:24" s="305" customFormat="1" ht="13.9" customHeight="1" thickBot="1">
      <c r="B165" s="305" t="s">
        <v>2248</v>
      </c>
      <c r="J165" s="1762">
        <f>+J163-J164</f>
        <v>10949156.200550128</v>
      </c>
      <c r="K165" s="1771"/>
      <c r="L165" s="1772"/>
      <c r="M165" s="1773" t="s">
        <v>2765</v>
      </c>
      <c r="N165" s="1774"/>
      <c r="O165" s="1775">
        <f>'Part III-Sources of Funds'!$I$41</f>
        <v>0</v>
      </c>
      <c r="P165" s="1775"/>
      <c r="Q165" s="1775"/>
      <c r="R165" s="1776"/>
      <c r="S165" s="424" t="s">
        <v>1675</v>
      </c>
      <c r="T165" s="3423" t="s">
        <v>3014</v>
      </c>
      <c r="V165" s="3360"/>
      <c r="W165" s="3361"/>
      <c r="X165" s="3362"/>
    </row>
    <row r="166" spans="1:24" s="305" customFormat="1" ht="13.9" customHeight="1">
      <c r="B166" s="305" t="s">
        <v>1298</v>
      </c>
      <c r="J166" s="1777" t="str">
        <f>"/ 10"</f>
        <v>/ 10</v>
      </c>
      <c r="K166" s="1777"/>
      <c r="L166" s="1777"/>
      <c r="M166" s="1570"/>
      <c r="N166" s="494"/>
      <c r="O166" s="494"/>
      <c r="P166" s="494"/>
      <c r="Q166" s="494"/>
      <c r="R166" s="494"/>
      <c r="V166" s="1176"/>
      <c r="W166" s="3361"/>
      <c r="X166" s="3362"/>
    </row>
    <row r="167" spans="1:24" s="305" customFormat="1" ht="13.9" customHeight="1">
      <c r="B167" s="305" t="s">
        <v>1299</v>
      </c>
      <c r="J167" s="1762">
        <f>J165/10</f>
        <v>1094915.6200550129</v>
      </c>
      <c r="K167" s="1771"/>
      <c r="L167" s="1763"/>
      <c r="M167" s="324"/>
      <c r="N167" s="1637" t="s">
        <v>1300</v>
      </c>
      <c r="O167" s="1637"/>
      <c r="Q167" s="1637" t="s">
        <v>1812</v>
      </c>
      <c r="R167" s="1637"/>
      <c r="V167" s="3360"/>
      <c r="W167" s="3361"/>
      <c r="X167" s="3362"/>
    </row>
    <row r="168" spans="1:24" s="305" customFormat="1" ht="13.9" customHeight="1" thickBot="1">
      <c r="B168" s="305" t="s">
        <v>1496</v>
      </c>
      <c r="J168" s="1764">
        <f>N168+Q168</f>
        <v>1.2875000000000001</v>
      </c>
      <c r="K168" s="1765"/>
      <c r="L168" s="1766"/>
      <c r="M168" s="1561" t="s">
        <v>1301</v>
      </c>
      <c r="N168" s="3424">
        <v>0.89749999999999996</v>
      </c>
      <c r="O168" s="3425"/>
      <c r="P168" s="1561" t="s">
        <v>618</v>
      </c>
      <c r="Q168" s="3424">
        <v>0.39</v>
      </c>
      <c r="R168" s="3425"/>
      <c r="V168" s="3360"/>
      <c r="W168" s="3361"/>
      <c r="X168" s="3362"/>
    </row>
    <row r="169" spans="1:24" s="305" customFormat="1" ht="13.9" customHeight="1" thickBot="1">
      <c r="B169" s="307" t="s">
        <v>1437</v>
      </c>
      <c r="J169" s="1702">
        <f>IF(J168=0,"",J167/J168)</f>
        <v>850419.89907185466</v>
      </c>
      <c r="K169" s="1767"/>
      <c r="L169" s="1703"/>
      <c r="M169" s="324"/>
      <c r="N169" s="1570"/>
      <c r="O169" s="1570"/>
      <c r="V169" s="3360"/>
      <c r="W169" s="3361"/>
      <c r="X169" s="3362"/>
    </row>
    <row r="170" spans="1:24" s="305" customFormat="1" ht="6" customHeight="1">
      <c r="J170" s="378"/>
      <c r="K170" s="378"/>
      <c r="L170" s="378"/>
      <c r="M170" s="324"/>
      <c r="N170" s="1571"/>
      <c r="O170" s="1571"/>
      <c r="V170" s="1176"/>
      <c r="W170" s="3361"/>
      <c r="X170" s="3362"/>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769"/>
      <c r="L171" s="1770"/>
      <c r="M171" s="324"/>
      <c r="N171" s="1571"/>
      <c r="O171" s="1571"/>
      <c r="V171" s="3360"/>
      <c r="W171" s="3361"/>
      <c r="X171" s="3362"/>
    </row>
    <row r="172" spans="1:24" s="305" customFormat="1" ht="3" customHeight="1">
      <c r="J172" s="378"/>
      <c r="K172" s="378"/>
      <c r="L172" s="378"/>
      <c r="M172" s="324"/>
      <c r="N172" s="1571"/>
      <c r="O172" s="1571"/>
      <c r="V172" s="1176"/>
      <c r="W172" s="3403"/>
      <c r="X172" s="3404"/>
    </row>
    <row r="173" spans="1:24" s="305" customFormat="1" ht="16.149999999999999" customHeight="1">
      <c r="B173" s="307" t="s">
        <v>351</v>
      </c>
      <c r="J173" s="3426">
        <v>850000</v>
      </c>
      <c r="K173" s="3427"/>
      <c r="L173" s="3428"/>
      <c r="M173" s="379" t="str">
        <f>IF(J171=0,"",IF(J173&gt;J171,"ALLOCATION CANNOT EXCEED MAXIMUM - REVISE REQUEST!",""))</f>
        <v/>
      </c>
      <c r="N173" s="1571"/>
      <c r="O173" s="1571"/>
      <c r="V173" s="3360"/>
      <c r="W173" s="3361"/>
      <c r="X173" s="3362"/>
    </row>
    <row r="174" spans="1:24" s="305" customFormat="1" ht="3" customHeight="1">
      <c r="J174" s="378"/>
      <c r="K174" s="378"/>
      <c r="L174" s="378"/>
      <c r="M174" s="324"/>
      <c r="N174" s="1571"/>
      <c r="O174" s="1571"/>
      <c r="V174" s="1176"/>
      <c r="W174" s="3403"/>
      <c r="X174" s="3404"/>
    </row>
    <row r="175" spans="1:24" s="305" customFormat="1" ht="16.149999999999999" customHeight="1">
      <c r="A175" s="438" t="s">
        <v>1805</v>
      </c>
      <c r="B175" s="438" t="s">
        <v>2637</v>
      </c>
      <c r="D175" s="324"/>
      <c r="E175" s="324"/>
      <c r="F175" s="310"/>
      <c r="J175" s="1778">
        <f>IF(J173="",0,+MIN(J171,J173))</f>
        <v>850000</v>
      </c>
      <c r="K175" s="1779"/>
      <c r="L175" s="1780"/>
      <c r="N175" s="3429"/>
      <c r="O175" s="3429"/>
      <c r="P175" s="3429"/>
      <c r="Q175" s="3429"/>
      <c r="R175" s="3429"/>
      <c r="S175" s="3429"/>
      <c r="T175" s="3429"/>
      <c r="V175" s="3360"/>
      <c r="W175" s="3361"/>
      <c r="X175" s="3362"/>
    </row>
    <row r="176" spans="1:24" ht="3" customHeight="1"/>
    <row r="177" spans="1:24" ht="6" customHeight="1"/>
    <row r="178" spans="1:24" ht="12" customHeight="1">
      <c r="A178" s="307" t="s">
        <v>1807</v>
      </c>
      <c r="B178" s="333" t="s">
        <v>577</v>
      </c>
      <c r="N178" s="307" t="s">
        <v>535</v>
      </c>
      <c r="O178" s="307" t="s">
        <v>80</v>
      </c>
    </row>
    <row r="179" spans="1:24" ht="352.5" customHeight="1">
      <c r="A179" s="3318" t="s">
        <v>4750</v>
      </c>
      <c r="B179" s="3318"/>
      <c r="C179" s="3318"/>
      <c r="D179" s="3318"/>
      <c r="E179" s="3318"/>
      <c r="F179" s="3318"/>
      <c r="G179" s="3318"/>
      <c r="H179" s="3318"/>
      <c r="I179" s="3318"/>
      <c r="J179" s="3318"/>
      <c r="K179" s="3318"/>
      <c r="L179" s="3318"/>
      <c r="M179" s="3318"/>
      <c r="N179" s="3430"/>
      <c r="O179" s="3430"/>
      <c r="P179" s="3430"/>
      <c r="Q179" s="3430"/>
      <c r="R179" s="3430"/>
      <c r="S179" s="3430"/>
      <c r="T179" s="3430"/>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UK32KSoBhcqw4yCEGm442+Bn0MonqHWejW0IQXsH7RCbeI/4o+9WUzVe8gBovVTnVmy08eiKkf+KUDQJB2pDMg==" saltValue="QqIf4v4yXm4sFUCZ/y2tz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30" zoomScaleNormal="13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2018-035 - Peaks of Cartersville  -  Cartersville  -  Bartow,  County</v>
      </c>
      <c r="B1" s="1840"/>
      <c r="C1" s="1840"/>
      <c r="D1" s="1840"/>
      <c r="E1" s="1840"/>
      <c r="F1" s="1840"/>
      <c r="G1" s="1840"/>
      <c r="H1" s="1840"/>
      <c r="I1" s="1008"/>
      <c r="J1" s="1008"/>
      <c r="K1" s="1008"/>
      <c r="L1" s="1008"/>
      <c r="M1" s="1008"/>
      <c r="N1" s="1008"/>
    </row>
    <row r="2" spans="1:14" ht="9" customHeight="1"/>
    <row r="3" spans="1:14" ht="57" customHeight="1">
      <c r="A3" s="3347" t="s">
        <v>3740</v>
      </c>
      <c r="B3" s="3348"/>
      <c r="C3" s="3348"/>
      <c r="D3" s="3348"/>
      <c r="E3" s="3348"/>
      <c r="F3" s="3348"/>
      <c r="G3" s="3348"/>
      <c r="H3" s="3349"/>
    </row>
    <row r="4" spans="1:14" ht="6" customHeight="1"/>
    <row r="5" spans="1:14" ht="38.25" customHeight="1">
      <c r="A5" s="1841" t="s">
        <v>3858</v>
      </c>
      <c r="B5" s="1841"/>
      <c r="C5" s="1841"/>
      <c r="D5" s="1841"/>
      <c r="F5" s="1009" t="s">
        <v>3731</v>
      </c>
      <c r="G5" s="592"/>
      <c r="H5" s="1009" t="s">
        <v>3732</v>
      </c>
    </row>
    <row r="6" spans="1:14" ht="6.75" customHeight="1">
      <c r="A6" s="592"/>
      <c r="B6" s="592"/>
      <c r="C6" s="592"/>
      <c r="D6" s="592"/>
    </row>
    <row r="7" spans="1:14" s="3350" customFormat="1" ht="4.5" customHeight="1">
      <c r="A7" s="1010"/>
      <c r="B7" s="1010"/>
      <c r="C7" s="1010"/>
      <c r="D7" s="1010"/>
      <c r="E7" s="1010"/>
      <c r="F7" s="1010"/>
      <c r="G7" s="1010"/>
    </row>
    <row r="8" spans="1:14" s="3350" customFormat="1">
      <c r="A8" s="1019" t="s">
        <v>103</v>
      </c>
      <c r="B8" s="1011"/>
      <c r="C8" s="1011"/>
      <c r="D8" s="1011"/>
      <c r="E8" s="1011"/>
      <c r="F8" s="1011"/>
      <c r="G8" s="1011"/>
      <c r="H8" s="1011"/>
    </row>
    <row r="9" spans="1:14" s="3350" customFormat="1" ht="41.25" customHeight="1">
      <c r="A9" s="1836" t="str">
        <f>'Part IV-A-Uses of Funds'!$C$14</f>
        <v>Engineer DD &amp; OPC</v>
      </c>
      <c r="B9" s="1837"/>
      <c r="C9" s="1837"/>
      <c r="D9" s="1838"/>
      <c r="F9" s="3351" t="s">
        <v>4735</v>
      </c>
      <c r="G9" s="1011"/>
      <c r="H9" s="3351" t="s">
        <v>4736</v>
      </c>
    </row>
    <row r="10" spans="1:14" s="3350" customFormat="1" ht="41.25" customHeight="1">
      <c r="A10" s="1833"/>
      <c r="B10" s="1834"/>
      <c r="C10" s="1834"/>
      <c r="D10" s="1835"/>
      <c r="F10" s="3352"/>
      <c r="G10" s="1011"/>
      <c r="H10" s="3352"/>
    </row>
    <row r="11" spans="1:14" s="3350" customFormat="1" ht="4.5" customHeight="1">
      <c r="F11" s="3352"/>
      <c r="G11" s="1011"/>
      <c r="H11" s="3352"/>
    </row>
    <row r="12" spans="1:14" s="3350" customFormat="1" ht="15" customHeight="1">
      <c r="A12" s="1018" t="s">
        <v>3734</v>
      </c>
      <c r="B12" s="1017">
        <f>'Part IV-A-Uses of Funds'!$G$14</f>
        <v>9000</v>
      </c>
      <c r="C12" s="1018" t="s">
        <v>1803</v>
      </c>
      <c r="D12" s="1017">
        <f>'Part IV-A-Uses of Funds'!$J$14+'Part IV-A-Uses of Funds'!$M$14+'Part IV-A-Uses of Funds'!$P$14</f>
        <v>9000</v>
      </c>
      <c r="F12" s="3352"/>
      <c r="G12" s="1011"/>
      <c r="H12" s="3352"/>
    </row>
    <row r="13" spans="1:14" s="3350" customFormat="1" ht="6" customHeight="1">
      <c r="A13" s="1011"/>
      <c r="B13" s="1012"/>
      <c r="C13" s="1011"/>
      <c r="D13" s="1011"/>
      <c r="F13" s="3352"/>
      <c r="G13" s="1013"/>
      <c r="H13" s="3352"/>
    </row>
    <row r="14" spans="1:14" s="3350" customFormat="1" ht="41.25" customHeight="1">
      <c r="A14" s="1836" t="str">
        <f>'Part IV-A-Uses of Funds'!$C$15</f>
        <v>Sewer Capacity Study</v>
      </c>
      <c r="B14" s="1837"/>
      <c r="C14" s="1837"/>
      <c r="D14" s="1838"/>
      <c r="F14" s="3352" t="s">
        <v>4737</v>
      </c>
      <c r="G14" s="1011"/>
      <c r="H14" s="3352" t="s">
        <v>4738</v>
      </c>
    </row>
    <row r="15" spans="1:14" s="3350" customFormat="1" ht="41.25" customHeight="1">
      <c r="A15" s="1833"/>
      <c r="B15" s="1834"/>
      <c r="C15" s="1834"/>
      <c r="D15" s="1835"/>
      <c r="F15" s="3352"/>
      <c r="G15" s="1011"/>
      <c r="H15" s="3352"/>
    </row>
    <row r="16" spans="1:14" s="3350" customFormat="1" ht="4.5" customHeight="1">
      <c r="F16" s="3352"/>
      <c r="G16" s="1011"/>
      <c r="H16" s="3352"/>
    </row>
    <row r="17" spans="1:8" s="3350" customFormat="1" ht="15" customHeight="1">
      <c r="A17" s="1018" t="s">
        <v>3734</v>
      </c>
      <c r="B17" s="1017">
        <f>'Part IV-A-Uses of Funds'!$G$15</f>
        <v>5500</v>
      </c>
      <c r="C17" s="1018" t="s">
        <v>1803</v>
      </c>
      <c r="D17" s="1017">
        <f>'Part IV-A-Uses of Funds'!$J$15+'Part IV-A-Uses of Funds'!$M$15+'Part IV-A-Uses of Funds'!$P$15</f>
        <v>5500</v>
      </c>
      <c r="F17" s="3352"/>
      <c r="G17" s="1011"/>
      <c r="H17" s="3352"/>
    </row>
    <row r="18" spans="1:8" s="3350" customFormat="1" ht="6" customHeight="1">
      <c r="A18" s="1011"/>
      <c r="B18" s="1012"/>
      <c r="C18" s="1011"/>
      <c r="D18" s="1011"/>
      <c r="F18" s="3352"/>
      <c r="G18" s="1013"/>
      <c r="H18" s="3352"/>
    </row>
    <row r="19" spans="1:8" s="3350" customFormat="1" ht="41.25" customHeight="1">
      <c r="A19" s="1836">
        <f>'Part IV-A-Uses of Funds'!$C$16</f>
        <v>0</v>
      </c>
      <c r="B19" s="1837"/>
      <c r="C19" s="1837"/>
      <c r="D19" s="1838"/>
      <c r="F19" s="3352"/>
      <c r="G19" s="1011"/>
      <c r="H19" s="3352"/>
    </row>
    <row r="20" spans="1:8" s="3350" customFormat="1" ht="41.25" customHeight="1">
      <c r="A20" s="1833"/>
      <c r="B20" s="1834"/>
      <c r="C20" s="1834"/>
      <c r="D20" s="1835"/>
      <c r="F20" s="3352"/>
      <c r="G20" s="1011"/>
      <c r="H20" s="3352"/>
    </row>
    <row r="21" spans="1:8" s="3350" customFormat="1" ht="4.5" customHeight="1">
      <c r="F21" s="3352"/>
      <c r="G21" s="1011"/>
      <c r="H21" s="3352"/>
    </row>
    <row r="22" spans="1:8" s="3350" customFormat="1" ht="15" customHeight="1">
      <c r="A22" s="1018" t="s">
        <v>3734</v>
      </c>
      <c r="B22" s="1017">
        <f>'Part IV-A-Uses of Funds'!$G$16</f>
        <v>0</v>
      </c>
      <c r="C22" s="1018" t="s">
        <v>1803</v>
      </c>
      <c r="D22" s="1017">
        <f>'Part IV-A-Uses of Funds'!$J$16+'Part IV-A-Uses of Funds'!$M$16+'Part IV-A-Uses of Funds'!$P$16</f>
        <v>0</v>
      </c>
      <c r="F22" s="3352"/>
      <c r="G22" s="1011"/>
      <c r="H22" s="3352"/>
    </row>
    <row r="23" spans="1:8" s="3350" customFormat="1" ht="6" customHeight="1">
      <c r="A23" s="1011"/>
      <c r="B23" s="1012"/>
      <c r="C23" s="1011"/>
      <c r="D23" s="1011"/>
      <c r="F23" s="3353"/>
      <c r="G23" s="1013"/>
      <c r="H23" s="3353"/>
    </row>
    <row r="24" spans="1:8" s="3350" customFormat="1">
      <c r="A24" s="1019" t="s">
        <v>3733</v>
      </c>
      <c r="B24" s="1011"/>
      <c r="C24" s="1011"/>
      <c r="D24" s="1011"/>
      <c r="E24" s="1011"/>
      <c r="F24" s="1011"/>
      <c r="G24" s="1011"/>
    </row>
    <row r="25" spans="1:8" s="3350" customFormat="1" ht="41.25" customHeight="1">
      <c r="A25" s="1836" t="str">
        <f>'Part IV-A-Uses of Funds'!$C$41</f>
        <v>&lt;&lt; Enter description here; provide detail &amp; justification in tab Part IV-b &gt;&gt;</v>
      </c>
      <c r="B25" s="1837"/>
      <c r="C25" s="1837"/>
      <c r="D25" s="1838"/>
      <c r="E25" s="1011"/>
      <c r="F25" s="3354"/>
      <c r="G25" s="1011"/>
      <c r="H25" s="3354"/>
    </row>
    <row r="26" spans="1:8" s="3350" customFormat="1" ht="41.25" customHeight="1">
      <c r="A26" s="1833"/>
      <c r="B26" s="1834"/>
      <c r="C26" s="1834"/>
      <c r="D26" s="1835"/>
      <c r="E26" s="1011"/>
      <c r="F26" s="3355"/>
      <c r="G26" s="1011"/>
      <c r="H26" s="3355"/>
    </row>
    <row r="27" spans="1:8" s="3350" customFormat="1" ht="4.5" customHeight="1">
      <c r="A27" s="1011"/>
      <c r="B27" s="1011"/>
      <c r="C27" s="1011"/>
      <c r="D27" s="1011"/>
      <c r="E27" s="1011"/>
      <c r="F27" s="3355"/>
      <c r="G27" s="1011"/>
      <c r="H27" s="3355"/>
    </row>
    <row r="28" spans="1:8" s="3350" customFormat="1" ht="25.5">
      <c r="A28" s="1018" t="s">
        <v>3734</v>
      </c>
      <c r="B28" s="1017">
        <f>'Part IV-A-Uses of Funds'!$G$41</f>
        <v>0</v>
      </c>
      <c r="C28" s="1018" t="s">
        <v>1803</v>
      </c>
      <c r="D28" s="1017">
        <f>'Part IV-A-Uses of Funds'!$J$41+'Part IV-A-Uses of Funds'!$M$41+'Part IV-A-Uses of Funds'!$P$41</f>
        <v>0</v>
      </c>
      <c r="E28" s="1011"/>
      <c r="F28" s="3355"/>
      <c r="G28" s="1011"/>
      <c r="H28" s="3355"/>
    </row>
    <row r="29" spans="1:8" s="3350" customFormat="1" ht="6" customHeight="1">
      <c r="A29" s="1011"/>
      <c r="B29" s="1012"/>
      <c r="C29" s="1011"/>
      <c r="D29" s="1011"/>
      <c r="E29" s="1011"/>
      <c r="F29" s="3356"/>
      <c r="G29" s="1013"/>
      <c r="H29" s="3356"/>
    </row>
    <row r="30" spans="1:8" s="3350" customFormat="1">
      <c r="A30" s="1019" t="s">
        <v>730</v>
      </c>
      <c r="B30" s="1011"/>
      <c r="C30" s="1011"/>
      <c r="D30" s="1011"/>
      <c r="E30" s="1011"/>
      <c r="F30" s="1011"/>
      <c r="G30" s="1011"/>
    </row>
    <row r="31" spans="1:8" s="3350" customFormat="1" ht="41.25" customHeight="1">
      <c r="A31" s="1830" t="str">
        <f>'Part IV-A-Uses of Funds'!$C$62</f>
        <v>Upfront Guarantee Fee (Due at Closing)</v>
      </c>
      <c r="B31" s="1831"/>
      <c r="C31" s="1831"/>
      <c r="D31" s="1832"/>
      <c r="E31" s="1011"/>
      <c r="F31" s="3351" t="s">
        <v>4747</v>
      </c>
      <c r="G31" s="1011"/>
      <c r="H31" s="3351" t="s">
        <v>4739</v>
      </c>
    </row>
    <row r="32" spans="1:8" s="3350" customFormat="1" ht="41.25" customHeight="1">
      <c r="A32" s="1833"/>
      <c r="B32" s="1834"/>
      <c r="C32" s="1834"/>
      <c r="D32" s="1835"/>
      <c r="E32" s="1011"/>
      <c r="F32" s="3352"/>
      <c r="G32" s="1011"/>
      <c r="H32" s="3352"/>
    </row>
    <row r="33" spans="1:8" s="3350" customFormat="1" ht="4.5" customHeight="1">
      <c r="A33" s="1011"/>
      <c r="B33" s="1011"/>
      <c r="C33" s="1011"/>
      <c r="D33" s="1011"/>
      <c r="E33" s="1011"/>
      <c r="F33" s="3352"/>
      <c r="G33" s="1011"/>
      <c r="H33" s="3352"/>
    </row>
    <row r="34" spans="1:8" s="3350" customFormat="1" ht="14.25" customHeight="1">
      <c r="A34" s="1018" t="s">
        <v>3734</v>
      </c>
      <c r="B34" s="1017">
        <f>'Part IV-A-Uses of Funds'!$G$62</f>
        <v>22500</v>
      </c>
      <c r="C34" s="1018" t="s">
        <v>1803</v>
      </c>
      <c r="D34" s="1017">
        <f>'Part IV-A-Uses of Funds'!$J$62+'Part IV-A-Uses of Funds'!$M$62+'Part IV-A-Uses of Funds'!$P$62</f>
        <v>22500</v>
      </c>
      <c r="E34" s="1011"/>
      <c r="F34" s="3352"/>
      <c r="G34" s="1011"/>
      <c r="H34" s="3352"/>
    </row>
    <row r="35" spans="1:8" s="3350" customFormat="1" ht="6" customHeight="1">
      <c r="D35" s="1011"/>
      <c r="E35" s="1011"/>
      <c r="F35" s="3352"/>
      <c r="G35" s="1013"/>
      <c r="H35" s="3352"/>
    </row>
    <row r="36" spans="1:8" s="3350" customFormat="1" ht="41.25" customHeight="1">
      <c r="A36" s="1830" t="str">
        <f>'Part IV-A-Uses of Funds'!$C$63</f>
        <v>Annual Guarantee Fee (During Construction)</v>
      </c>
      <c r="B36" s="1831"/>
      <c r="C36" s="1831"/>
      <c r="D36" s="1832"/>
      <c r="E36" s="1011"/>
      <c r="F36" s="3352" t="s">
        <v>4748</v>
      </c>
      <c r="G36" s="1011"/>
      <c r="H36" s="3352" t="s">
        <v>4739</v>
      </c>
    </row>
    <row r="37" spans="1:8" s="3350" customFormat="1" ht="41.25" customHeight="1">
      <c r="A37" s="1833"/>
      <c r="B37" s="1834"/>
      <c r="C37" s="1834"/>
      <c r="D37" s="1835"/>
      <c r="E37" s="1011"/>
      <c r="F37" s="3352"/>
      <c r="G37" s="1011"/>
      <c r="H37" s="3352"/>
    </row>
    <row r="38" spans="1:8" s="3350" customFormat="1" ht="4.5" customHeight="1">
      <c r="A38" s="1011"/>
      <c r="B38" s="1011"/>
      <c r="C38" s="1011"/>
      <c r="D38" s="1011"/>
      <c r="E38" s="1011"/>
      <c r="F38" s="3352"/>
      <c r="G38" s="1011"/>
      <c r="H38" s="3352"/>
    </row>
    <row r="39" spans="1:8" s="3350" customFormat="1" ht="14.25" customHeight="1">
      <c r="A39" s="1018" t="s">
        <v>3734</v>
      </c>
      <c r="B39" s="1017">
        <f>'Part IV-A-Uses of Funds'!$G$63</f>
        <v>12500</v>
      </c>
      <c r="C39" s="1018" t="s">
        <v>1803</v>
      </c>
      <c r="D39" s="1017">
        <f>'Part IV-A-Uses of Funds'!$J$63+'Part IV-A-Uses of Funds'!$M$63+'Part IV-A-Uses of Funds'!$P$63</f>
        <v>12500</v>
      </c>
      <c r="E39" s="1011"/>
      <c r="F39" s="3352"/>
      <c r="G39" s="1011"/>
      <c r="H39" s="3352"/>
    </row>
    <row r="40" spans="1:8" s="3350" customFormat="1" ht="6" customHeight="1">
      <c r="D40" s="1011"/>
      <c r="E40" s="1011"/>
      <c r="F40" s="3353"/>
      <c r="G40" s="1013"/>
      <c r="H40" s="3353"/>
    </row>
    <row r="41" spans="1:8" s="3350" customFormat="1">
      <c r="A41" s="1019" t="s">
        <v>480</v>
      </c>
      <c r="B41" s="1011"/>
      <c r="C41" s="1011"/>
      <c r="D41" s="1011"/>
      <c r="E41" s="1015"/>
      <c r="F41" s="1015"/>
      <c r="G41" s="1011"/>
    </row>
    <row r="42" spans="1:8" s="3350" customFormat="1" ht="41.25" customHeight="1">
      <c r="A42" s="1830" t="str">
        <f>'Part IV-A-Uses of Funds'!$C$76</f>
        <v>&lt;&lt; Enter description here; provide detail &amp; justification in tab Part IV-b &gt;&gt;</v>
      </c>
      <c r="B42" s="1831"/>
      <c r="C42" s="1831"/>
      <c r="D42" s="1832"/>
      <c r="F42" s="3354"/>
      <c r="G42" s="1011"/>
      <c r="H42" s="3354"/>
    </row>
    <row r="43" spans="1:8" s="3350" customFormat="1" ht="41.25" customHeight="1">
      <c r="A43" s="1833"/>
      <c r="B43" s="1834"/>
      <c r="C43" s="1834"/>
      <c r="D43" s="1835"/>
      <c r="E43" s="1011"/>
      <c r="F43" s="3355"/>
      <c r="G43" s="1011"/>
      <c r="H43" s="3355"/>
    </row>
    <row r="44" spans="1:8" s="3350" customFormat="1" ht="4.5" customHeight="1">
      <c r="A44" s="1011"/>
      <c r="B44" s="1011"/>
      <c r="C44" s="1011"/>
      <c r="D44" s="1011"/>
      <c r="E44" s="1011"/>
      <c r="F44" s="3355"/>
      <c r="G44" s="1011"/>
      <c r="H44" s="3355"/>
    </row>
    <row r="45" spans="1:8" s="3350" customFormat="1" ht="13.5" customHeight="1">
      <c r="A45" s="1018" t="s">
        <v>3734</v>
      </c>
      <c r="B45" s="1017">
        <f>'Part IV-A-Uses of Funds'!$G$76</f>
        <v>0</v>
      </c>
      <c r="C45" s="1018" t="s">
        <v>1803</v>
      </c>
      <c r="D45" s="1017">
        <f>'Part IV-A-Uses of Funds'!$J$76+'Part IV-A-Uses of Funds'!$M$76+'Part IV-A-Uses of Funds'!$P$76</f>
        <v>0</v>
      </c>
      <c r="E45" s="1011"/>
      <c r="F45" s="3355"/>
      <c r="G45" s="1011"/>
      <c r="H45" s="3355"/>
    </row>
    <row r="46" spans="1:8" s="3350" customFormat="1" ht="6" customHeight="1">
      <c r="A46" s="1011"/>
      <c r="B46" s="1012"/>
      <c r="C46" s="1011"/>
      <c r="D46" s="1011"/>
      <c r="E46" s="1011"/>
      <c r="F46" s="3356"/>
      <c r="G46" s="1013"/>
      <c r="H46" s="3356"/>
    </row>
    <row r="47" spans="1:8" s="3350" customFormat="1">
      <c r="A47" s="1019" t="s">
        <v>732</v>
      </c>
      <c r="B47" s="1011"/>
      <c r="C47" s="1011"/>
      <c r="D47" s="1011"/>
      <c r="E47" s="1011"/>
      <c r="F47" s="1011"/>
      <c r="G47" s="1011"/>
    </row>
    <row r="48" spans="1:8" s="3350" customFormat="1" ht="41.25" customHeight="1">
      <c r="A48" s="1830" t="str">
        <f>'Part IV-A-Uses of Funds'!$C$90</f>
        <v>&lt;&lt; Enter description here; provide detail &amp; justification in tab Part IV-b &gt;&gt;</v>
      </c>
      <c r="B48" s="1831"/>
      <c r="C48" s="1831"/>
      <c r="D48" s="1832"/>
      <c r="F48" s="3354"/>
      <c r="G48" s="1011"/>
    </row>
    <row r="49" spans="1:7" s="3350" customFormat="1" ht="41.25" customHeight="1">
      <c r="A49" s="1833"/>
      <c r="B49" s="1834"/>
      <c r="C49" s="1834"/>
      <c r="D49" s="1835"/>
      <c r="E49" s="1011"/>
      <c r="F49" s="3355"/>
      <c r="G49" s="1011"/>
    </row>
    <row r="50" spans="1:7" s="3350" customFormat="1" ht="3" customHeight="1">
      <c r="A50" s="1011"/>
      <c r="B50" s="1011"/>
      <c r="C50" s="1011"/>
      <c r="D50" s="1011"/>
      <c r="E50" s="1011"/>
      <c r="F50" s="3355"/>
      <c r="G50" s="1011"/>
    </row>
    <row r="51" spans="1:7" s="3350" customFormat="1" ht="13.5" customHeight="1">
      <c r="A51" s="1018" t="s">
        <v>3734</v>
      </c>
      <c r="B51" s="1017">
        <f>'Part IV-A-Uses of Funds'!$G$90</f>
        <v>0</v>
      </c>
      <c r="C51" s="1014"/>
      <c r="D51" s="1014"/>
      <c r="E51" s="1011"/>
      <c r="F51" s="3355"/>
      <c r="G51" s="1011"/>
    </row>
    <row r="52" spans="1:7" s="3350" customFormat="1" ht="3.75" customHeight="1">
      <c r="A52" s="1011"/>
      <c r="B52" s="1011"/>
      <c r="C52" s="1011"/>
      <c r="D52" s="1011"/>
      <c r="E52" s="1011"/>
      <c r="F52" s="3356"/>
      <c r="G52" s="1013"/>
    </row>
    <row r="53" spans="1:7" s="3350" customFormat="1">
      <c r="A53" s="1019" t="s">
        <v>3735</v>
      </c>
      <c r="B53" s="1011"/>
      <c r="C53" s="1011"/>
      <c r="D53" s="1011"/>
      <c r="E53" s="1011"/>
      <c r="F53" s="1011"/>
      <c r="G53" s="1011"/>
    </row>
    <row r="54" spans="1:7" s="3350" customFormat="1" ht="41.25" customHeight="1">
      <c r="A54" s="1830" t="str">
        <f>'Part IV-A-Uses of Funds'!$C$103</f>
        <v>&lt;&lt; Enter description here; provide detail &amp; justification in tab Part IV-b &gt;&gt;</v>
      </c>
      <c r="B54" s="1831"/>
      <c r="C54" s="1831"/>
      <c r="D54" s="1832"/>
      <c r="F54" s="3351"/>
      <c r="G54" s="1011"/>
    </row>
    <row r="55" spans="1:7" s="3350" customFormat="1" ht="41.25" customHeight="1">
      <c r="A55" s="1833"/>
      <c r="B55" s="1834"/>
      <c r="C55" s="1834"/>
      <c r="D55" s="1835"/>
      <c r="E55" s="1011"/>
      <c r="F55" s="3352"/>
      <c r="G55" s="1011"/>
    </row>
    <row r="56" spans="1:7" s="3350" customFormat="1" ht="3" customHeight="1">
      <c r="A56" s="1011"/>
      <c r="B56" s="1011"/>
      <c r="C56" s="1011"/>
      <c r="D56" s="1011"/>
      <c r="E56" s="1011"/>
      <c r="F56" s="3352"/>
      <c r="G56" s="1011"/>
    </row>
    <row r="57" spans="1:7" s="3350" customFormat="1" ht="25.5">
      <c r="A57" s="1018" t="s">
        <v>3734</v>
      </c>
      <c r="B57" s="1017">
        <f>'Part IV-A-Uses of Funds'!$G$103</f>
        <v>0</v>
      </c>
      <c r="C57" s="1014"/>
      <c r="D57" s="1014"/>
      <c r="E57" s="1011"/>
      <c r="F57" s="3352"/>
      <c r="G57" s="1011"/>
    </row>
    <row r="58" spans="1:7" s="3350" customFormat="1" ht="3.75" customHeight="1">
      <c r="A58" s="1010"/>
      <c r="B58" s="1010"/>
      <c r="C58" s="1010"/>
      <c r="D58" s="1010"/>
      <c r="E58" s="1010"/>
      <c r="F58" s="3352"/>
      <c r="G58" s="1013"/>
    </row>
    <row r="59" spans="1:7" s="3350" customFormat="1" ht="41.25" customHeight="1">
      <c r="A59" s="1830" t="str">
        <f>'Part IV-A-Uses of Funds'!$C$104</f>
        <v>&lt;&lt; Enter description here; provide detail &amp; justification in tab Part IV-b &gt;&gt;</v>
      </c>
      <c r="B59" s="1831"/>
      <c r="C59" s="1831"/>
      <c r="D59" s="1832"/>
      <c r="F59" s="3352"/>
      <c r="G59" s="1011"/>
    </row>
    <row r="60" spans="1:7" s="3350" customFormat="1" ht="41.25" customHeight="1">
      <c r="A60" s="1833"/>
      <c r="B60" s="1834"/>
      <c r="C60" s="1834"/>
      <c r="D60" s="1835"/>
      <c r="E60" s="1011"/>
      <c r="F60" s="3352"/>
      <c r="G60" s="1011"/>
    </row>
    <row r="61" spans="1:7" s="3350" customFormat="1" ht="3" customHeight="1">
      <c r="A61" s="1011"/>
      <c r="B61" s="1011"/>
      <c r="C61" s="1011"/>
      <c r="D61" s="1011"/>
      <c r="E61" s="1011"/>
      <c r="F61" s="3352"/>
      <c r="G61" s="1011"/>
    </row>
    <row r="62" spans="1:7" s="3350" customFormat="1" ht="25.5">
      <c r="A62" s="1018" t="s">
        <v>3734</v>
      </c>
      <c r="B62" s="1017">
        <f>'Part IV-A-Uses of Funds'!$G$104</f>
        <v>0</v>
      </c>
      <c r="C62" s="1014"/>
      <c r="D62" s="1014"/>
      <c r="E62" s="1011"/>
      <c r="F62" s="3352"/>
      <c r="G62" s="1011"/>
    </row>
    <row r="63" spans="1:7" s="3350" customFormat="1" ht="3.75" customHeight="1">
      <c r="A63" s="1010"/>
      <c r="B63" s="1010"/>
      <c r="C63" s="1010"/>
      <c r="D63" s="1010"/>
      <c r="E63" s="1010"/>
      <c r="F63" s="3353"/>
      <c r="G63" s="1013"/>
    </row>
    <row r="64" spans="1:7" s="3350" customFormat="1">
      <c r="A64" s="1019" t="s">
        <v>3736</v>
      </c>
      <c r="B64" s="1011"/>
      <c r="C64" s="1011"/>
      <c r="D64" s="1011"/>
      <c r="E64" s="1011"/>
      <c r="F64" s="1011"/>
      <c r="G64" s="1011"/>
    </row>
    <row r="65" spans="1:8" s="3350" customFormat="1" ht="41.25" customHeight="1">
      <c r="A65" s="1830" t="str">
        <f>'Part IV-A-Uses of Funds'!$C$110</f>
        <v>&lt;&lt; Enter description here; provide detail &amp; justification in tab Part IV-b &gt;&gt;</v>
      </c>
      <c r="B65" s="1831"/>
      <c r="C65" s="1831"/>
      <c r="D65" s="1832"/>
      <c r="F65" s="3354"/>
      <c r="G65" s="1011"/>
    </row>
    <row r="66" spans="1:8" s="3350" customFormat="1" ht="41.25" customHeight="1">
      <c r="A66" s="1833"/>
      <c r="B66" s="1834"/>
      <c r="C66" s="1834"/>
      <c r="D66" s="1835"/>
      <c r="E66" s="1011"/>
      <c r="F66" s="3355"/>
      <c r="G66" s="1011"/>
    </row>
    <row r="67" spans="1:8" s="3350" customFormat="1" ht="3" customHeight="1">
      <c r="A67" s="1011"/>
      <c r="B67" s="1011"/>
      <c r="C67" s="1011"/>
      <c r="D67" s="1011"/>
      <c r="E67" s="1011"/>
      <c r="F67" s="3355"/>
      <c r="G67" s="1011"/>
    </row>
    <row r="68" spans="1:8" s="3350" customFormat="1" ht="25.5">
      <c r="A68" s="1018" t="s">
        <v>3734</v>
      </c>
      <c r="B68" s="1017">
        <f>'Part IV-A-Uses of Funds'!$G$110</f>
        <v>0</v>
      </c>
      <c r="C68" s="1014"/>
      <c r="D68" s="1014"/>
      <c r="E68" s="1011"/>
      <c r="F68" s="3355"/>
      <c r="G68" s="1011"/>
    </row>
    <row r="69" spans="1:8" s="3350" customFormat="1" ht="3.75" customHeight="1">
      <c r="A69" s="1011"/>
      <c r="B69" s="1012"/>
      <c r="C69" s="1011"/>
      <c r="D69" s="1011"/>
      <c r="E69" s="1011"/>
      <c r="F69" s="3356"/>
      <c r="G69" s="1013"/>
    </row>
    <row r="70" spans="1:8" s="3350" customFormat="1">
      <c r="A70" s="1019" t="s">
        <v>1321</v>
      </c>
      <c r="B70" s="1011"/>
      <c r="C70" s="1011"/>
      <c r="D70" s="1011"/>
      <c r="E70" s="1011"/>
      <c r="F70" s="1011"/>
      <c r="G70" s="1011"/>
    </row>
    <row r="71" spans="1:8" s="3350" customFormat="1" ht="41.25" customHeight="1">
      <c r="A71" s="1830" t="str">
        <f>'Part IV-A-Uses of Funds'!$C$125</f>
        <v>&lt;&lt; Enter description here; provide detail &amp; justification in tab Part IV-b &gt;&gt;</v>
      </c>
      <c r="B71" s="1831"/>
      <c r="C71" s="1831"/>
      <c r="D71" s="1832"/>
      <c r="F71" s="3354"/>
      <c r="G71" s="1011"/>
      <c r="H71" s="3354"/>
    </row>
    <row r="72" spans="1:8" s="3350" customFormat="1" ht="41.25" customHeight="1">
      <c r="A72" s="1833"/>
      <c r="B72" s="1834"/>
      <c r="C72" s="1834"/>
      <c r="D72" s="1835"/>
      <c r="E72" s="1011"/>
      <c r="F72" s="3355"/>
      <c r="G72" s="1011"/>
      <c r="H72" s="3355"/>
    </row>
    <row r="73" spans="1:8" s="3350" customFormat="1" ht="4.5" customHeight="1">
      <c r="A73" s="1011"/>
      <c r="B73" s="1011"/>
      <c r="C73" s="1011"/>
      <c r="D73" s="1011"/>
      <c r="E73" s="1011"/>
      <c r="F73" s="3355"/>
      <c r="G73" s="1011"/>
      <c r="H73" s="3355"/>
    </row>
    <row r="74" spans="1:8" s="3350" customFormat="1" ht="12.75" customHeight="1">
      <c r="A74" s="1018" t="s">
        <v>3734</v>
      </c>
      <c r="B74" s="1017">
        <f>'Part IV-A-Uses of Funds'!$G$125</f>
        <v>0</v>
      </c>
      <c r="C74" s="1018" t="s">
        <v>1803</v>
      </c>
      <c r="D74" s="1017">
        <f>'Part IV-A-Uses of Funds'!$J$125+'Part IV-A-Uses of Funds'!$M$125+'Part IV-A-Uses of Funds'!$P$125</f>
        <v>0</v>
      </c>
      <c r="E74" s="1011"/>
      <c r="F74" s="3355"/>
      <c r="G74" s="1011"/>
      <c r="H74" s="3355"/>
    </row>
    <row r="75" spans="1:8" s="3350" customFormat="1" ht="6" customHeight="1">
      <c r="A75" s="1011"/>
      <c r="B75" s="1012"/>
      <c r="C75" s="1011"/>
      <c r="D75" s="1011"/>
      <c r="E75" s="1011"/>
      <c r="F75" s="3356"/>
      <c r="G75" s="1013"/>
      <c r="H75" s="3356"/>
    </row>
    <row r="76" spans="1:8" s="3350" customFormat="1">
      <c r="A76" s="1019" t="s">
        <v>3737</v>
      </c>
      <c r="B76" s="1012"/>
      <c r="C76" s="1011"/>
      <c r="D76" s="1011"/>
      <c r="E76" s="1011"/>
      <c r="F76" s="1011"/>
      <c r="G76" s="1013"/>
    </row>
    <row r="77" spans="1:8" s="3350" customFormat="1" ht="41.25" customHeight="1">
      <c r="A77" s="1830" t="str">
        <f>'Part IV-A-Uses of Funds'!$C$129</f>
        <v>&lt;&lt; Enter description here; provide detail &amp; justification in tab Part IV-b &gt;&gt;</v>
      </c>
      <c r="B77" s="1831"/>
      <c r="C77" s="1831"/>
      <c r="D77" s="1832"/>
      <c r="F77" s="3354"/>
      <c r="G77" s="1011"/>
      <c r="H77" s="3354"/>
    </row>
    <row r="78" spans="1:8" s="3350" customFormat="1" ht="41.25" customHeight="1">
      <c r="A78" s="1833"/>
      <c r="B78" s="1834"/>
      <c r="C78" s="1834"/>
      <c r="D78" s="1835"/>
      <c r="E78" s="1011"/>
      <c r="F78" s="3355"/>
      <c r="G78" s="1011"/>
      <c r="H78" s="3355"/>
    </row>
    <row r="79" spans="1:8" s="3350" customFormat="1" ht="4.5" customHeight="1">
      <c r="A79" s="1011"/>
      <c r="B79" s="1011"/>
      <c r="C79" s="1011"/>
      <c r="D79" s="1011"/>
      <c r="E79" s="1011"/>
      <c r="F79" s="3355"/>
      <c r="G79" s="1011"/>
      <c r="H79" s="3355"/>
    </row>
    <row r="80" spans="1:8" s="3350" customFormat="1" ht="12.75" customHeight="1">
      <c r="A80" s="1018" t="s">
        <v>3734</v>
      </c>
      <c r="B80" s="1017">
        <f>'Part IV-A-Uses of Funds'!$G$129</f>
        <v>0</v>
      </c>
      <c r="C80" s="1018" t="s">
        <v>1803</v>
      </c>
      <c r="D80" s="1017">
        <f>'Part IV-A-Uses of Funds'!$J$129+'Part IV-A-Uses of Funds'!$M$129+'Part IV-A-Uses of Funds'!$P$129</f>
        <v>0</v>
      </c>
      <c r="E80" s="1016"/>
      <c r="F80" s="3355"/>
      <c r="G80" s="1011"/>
      <c r="H80" s="3355"/>
    </row>
    <row r="81" spans="4:8" s="3350" customFormat="1" ht="6" customHeight="1">
      <c r="D81" s="1618"/>
      <c r="E81" s="3357"/>
      <c r="F81" s="3356"/>
      <c r="G81" s="1013"/>
      <c r="H81" s="3356"/>
    </row>
    <row r="82" spans="4:8" s="3350" customFormat="1"/>
    <row r="83" spans="4:8" s="3350" customFormat="1"/>
    <row r="84" spans="4:8" s="3350" customFormat="1"/>
    <row r="85" spans="4:8" s="3350" customFormat="1"/>
    <row r="86" spans="4:8" s="3350" customFormat="1"/>
    <row r="87" spans="4:8" s="3350" customFormat="1"/>
    <row r="88" spans="4:8" s="3350" customFormat="1"/>
    <row r="89" spans="4:8" s="3350" customFormat="1"/>
    <row r="90" spans="4:8" s="3350" customFormat="1"/>
    <row r="91" spans="4:8" s="3350" customFormat="1"/>
    <row r="92" spans="4:8" s="3350" customFormat="1"/>
  </sheetData>
  <sheetProtection algorithmName="SHA-512" hashValue="Ez7I7WlacSkQ4EZUGS312onPMZdNouXKhMRdEJJ0yM/LRrXnFqh9Sxzi3IrHPq7equhTbT/qerGrVuMb99cZqw==" saltValue="3sRhaU7SJ+FSS3HmGpujy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6"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2018-035 Peaks of Cartersville, Cartersville, Bartow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2243</v>
      </c>
      <c r="F7" s="8" t="s">
        <v>2536</v>
      </c>
      <c r="I7" s="3320" t="s">
        <v>4668</v>
      </c>
      <c r="J7" s="3321"/>
      <c r="K7" s="3321"/>
      <c r="L7" s="3321"/>
      <c r="M7" s="3322"/>
    </row>
    <row r="8" spans="1:20" s="8" customFormat="1" ht="13.15" customHeight="1">
      <c r="A8" s="14"/>
      <c r="F8" s="8" t="s">
        <v>642</v>
      </c>
      <c r="H8" s="28"/>
      <c r="I8" s="3323">
        <v>43101</v>
      </c>
      <c r="J8" s="3324"/>
      <c r="K8" s="63" t="s">
        <v>545</v>
      </c>
      <c r="L8" s="3325"/>
      <c r="M8" s="3326"/>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7" t="s">
        <v>1608</v>
      </c>
      <c r="E12" s="3328"/>
      <c r="F12" s="3329" t="s">
        <v>443</v>
      </c>
      <c r="G12" s="3329"/>
      <c r="H12" s="1120"/>
      <c r="I12" s="3330">
        <v>8</v>
      </c>
      <c r="J12" s="3330">
        <v>9</v>
      </c>
      <c r="K12" s="3330">
        <v>11</v>
      </c>
      <c r="L12" s="3330">
        <v>16</v>
      </c>
      <c r="M12" s="3330">
        <v>20</v>
      </c>
      <c r="O12" s="1842" t="s">
        <v>3857</v>
      </c>
      <c r="P12" s="1842"/>
    </row>
    <row r="13" spans="1:20" s="8" customFormat="1" ht="12" customHeight="1">
      <c r="B13" s="1112" t="s">
        <v>1609</v>
      </c>
      <c r="C13" s="1109"/>
      <c r="D13" s="3331" t="s">
        <v>1608</v>
      </c>
      <c r="E13" s="3332"/>
      <c r="F13" s="3333" t="s">
        <v>443</v>
      </c>
      <c r="G13" s="3333"/>
      <c r="H13" s="1117"/>
      <c r="I13" s="3334">
        <v>5</v>
      </c>
      <c r="J13" s="3334">
        <v>8</v>
      </c>
      <c r="K13" s="3334">
        <v>10</v>
      </c>
      <c r="L13" s="3335">
        <v>12</v>
      </c>
      <c r="M13" s="3335">
        <v>15</v>
      </c>
      <c r="O13" s="1842"/>
      <c r="P13" s="1842"/>
    </row>
    <row r="14" spans="1:20" s="8" customFormat="1" ht="12" customHeight="1">
      <c r="B14" s="1115" t="s">
        <v>1610</v>
      </c>
      <c r="C14" s="1114"/>
      <c r="D14" s="3331" t="s">
        <v>1608</v>
      </c>
      <c r="E14" s="3332"/>
      <c r="F14" s="3333" t="s">
        <v>443</v>
      </c>
      <c r="G14" s="3333"/>
      <c r="H14" s="257"/>
      <c r="I14" s="3334">
        <v>9</v>
      </c>
      <c r="J14" s="3334">
        <v>14</v>
      </c>
      <c r="K14" s="3334">
        <v>19</v>
      </c>
      <c r="L14" s="3335">
        <v>24</v>
      </c>
      <c r="M14" s="3335">
        <v>29</v>
      </c>
      <c r="O14" s="1842"/>
      <c r="P14" s="1842"/>
    </row>
    <row r="15" spans="1:20" s="8" customFormat="1" ht="12" customHeight="1">
      <c r="B15" s="1110" t="s">
        <v>471</v>
      </c>
      <c r="C15" s="258"/>
      <c r="D15" s="1110" t="s">
        <v>1608</v>
      </c>
      <c r="E15" s="258"/>
      <c r="F15" s="3333" t="s">
        <v>443</v>
      </c>
      <c r="G15" s="3333"/>
      <c r="H15" s="1116"/>
      <c r="I15" s="3334">
        <v>5</v>
      </c>
      <c r="J15" s="3334">
        <v>7</v>
      </c>
      <c r="K15" s="3334">
        <v>9</v>
      </c>
      <c r="L15" s="3335">
        <v>12</v>
      </c>
      <c r="M15" s="3335">
        <v>14</v>
      </c>
      <c r="O15" s="1842"/>
      <c r="P15" s="1842"/>
    </row>
    <row r="16" spans="1:20" s="8" customFormat="1" ht="12" customHeight="1">
      <c r="B16" s="1111" t="s">
        <v>3829</v>
      </c>
      <c r="C16" s="1109"/>
      <c r="D16" s="1112" t="s">
        <v>1608</v>
      </c>
      <c r="E16" s="1109"/>
      <c r="F16" s="3333" t="s">
        <v>443</v>
      </c>
      <c r="G16" s="3333"/>
      <c r="H16" s="1117"/>
      <c r="I16" s="3334"/>
      <c r="J16" s="3334"/>
      <c r="K16" s="3334"/>
      <c r="L16" s="3335"/>
      <c r="M16" s="3335"/>
      <c r="O16" s="1842"/>
      <c r="P16" s="1842"/>
    </row>
    <row r="17" spans="1:19" s="8" customFormat="1" ht="12" customHeight="1">
      <c r="B17" s="1111" t="s">
        <v>3830</v>
      </c>
      <c r="C17" s="1109"/>
      <c r="D17" s="1112" t="s">
        <v>1608</v>
      </c>
      <c r="E17" s="1109"/>
      <c r="F17" s="3333" t="s">
        <v>443</v>
      </c>
      <c r="G17" s="3333"/>
      <c r="H17" s="1117"/>
      <c r="I17" s="3334"/>
      <c r="J17" s="3334"/>
      <c r="K17" s="3334"/>
      <c r="L17" s="3335"/>
      <c r="M17" s="3335"/>
      <c r="O17" s="1842"/>
      <c r="P17" s="1842"/>
    </row>
    <row r="18" spans="1:19" s="8" customFormat="1" ht="12" customHeight="1">
      <c r="B18" s="1113" t="s">
        <v>3831</v>
      </c>
      <c r="C18" s="1114"/>
      <c r="D18" s="1115" t="s">
        <v>1608</v>
      </c>
      <c r="E18" s="1109"/>
      <c r="F18" s="3333" t="s">
        <v>443</v>
      </c>
      <c r="G18" s="3333"/>
      <c r="H18" s="257"/>
      <c r="I18" s="3334">
        <v>15</v>
      </c>
      <c r="J18" s="3334">
        <v>22</v>
      </c>
      <c r="K18" s="3334">
        <v>28</v>
      </c>
      <c r="L18" s="3335">
        <v>34</v>
      </c>
      <c r="M18" s="3335">
        <v>43</v>
      </c>
      <c r="O18" s="1842"/>
      <c r="P18" s="1842"/>
    </row>
    <row r="19" spans="1:19" s="8" customFormat="1" ht="12" customHeight="1">
      <c r="B19" s="1110" t="s">
        <v>1382</v>
      </c>
      <c r="C19" s="258"/>
      <c r="D19" s="668" t="s">
        <v>3492</v>
      </c>
      <c r="E19" s="3336" t="s">
        <v>3011</v>
      </c>
      <c r="F19" s="3333" t="s">
        <v>443</v>
      </c>
      <c r="G19" s="3333"/>
      <c r="H19" s="1116"/>
      <c r="I19" s="3334">
        <v>36</v>
      </c>
      <c r="J19" s="3334">
        <v>43</v>
      </c>
      <c r="K19" s="3334">
        <v>51</v>
      </c>
      <c r="L19" s="3335">
        <v>63</v>
      </c>
      <c r="M19" s="3335">
        <v>76</v>
      </c>
      <c r="O19" s="1842"/>
      <c r="P19" s="1842"/>
    </row>
    <row r="20" spans="1:19" s="8" customFormat="1" ht="12" customHeight="1">
      <c r="B20" s="1121" t="s">
        <v>1865</v>
      </c>
      <c r="C20" s="231"/>
      <c r="D20" s="259"/>
      <c r="E20" s="231"/>
      <c r="F20" s="3337"/>
      <c r="G20" s="3337" t="s">
        <v>443</v>
      </c>
      <c r="H20" s="1122"/>
      <c r="I20" s="3338"/>
      <c r="J20" s="3338"/>
      <c r="K20" s="3338"/>
      <c r="L20" s="3339"/>
      <c r="M20" s="3339"/>
      <c r="O20" s="1842"/>
      <c r="P20" s="1842"/>
    </row>
    <row r="21" spans="1:19" s="8" customFormat="1">
      <c r="B21" s="254" t="s">
        <v>1030</v>
      </c>
      <c r="D21" s="28"/>
      <c r="E21" s="28"/>
      <c r="F21" s="83"/>
      <c r="G21" s="83"/>
      <c r="I21" s="1582">
        <f>IF(SUM(I12:I20)=0,0,IF(OR($D12="&lt;&lt;Select Fuel &gt;&gt;",$D13="&lt;&lt;Select Fuel &gt;&gt;",$D14="&lt;&lt;Select Fuel &gt;&gt;"),"Select Fuel",IF($E19="&lt;Select&gt;","Submeter?",SUM(I12:I20))))</f>
        <v>78</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161</v>
      </c>
      <c r="M21" s="1582">
        <f>IF(SUM(M12:M20)=0,0,IF(OR($D12="&lt;&lt;Select Fuel &gt;&gt;",$D13="&lt;&lt;Select Fuel &gt;&gt;",$D14="&lt;&lt;Select Fuel &gt;&gt;"),"Select Fuel",IF($E19="&lt;Select&gt;","Submeter?",SUM(M12:M20))))</f>
        <v>197</v>
      </c>
    </row>
    <row r="22" spans="1:19" s="8" customFormat="1" ht="7.5" customHeight="1">
      <c r="M22" s="28"/>
      <c r="N22" s="28"/>
      <c r="O22" s="28"/>
      <c r="P22" s="28"/>
      <c r="Q22" s="28"/>
      <c r="R22" s="28"/>
      <c r="S22" s="28"/>
    </row>
    <row r="23" spans="1:19" s="8" customFormat="1">
      <c r="A23" s="14" t="s">
        <v>748</v>
      </c>
      <c r="B23" s="14" t="s">
        <v>2244</v>
      </c>
      <c r="F23" s="8" t="s">
        <v>2536</v>
      </c>
      <c r="I23" s="3340"/>
      <c r="J23" s="3321"/>
      <c r="K23" s="3321"/>
      <c r="L23" s="3321"/>
      <c r="M23" s="3322"/>
    </row>
    <row r="24" spans="1:19" s="8" customFormat="1" ht="13.15" customHeight="1">
      <c r="A24" s="14"/>
      <c r="B24" s="14"/>
      <c r="F24" s="8" t="s">
        <v>642</v>
      </c>
      <c r="H24" s="28"/>
      <c r="I24" s="3323"/>
      <c r="J24" s="3324"/>
      <c r="K24" s="63" t="s">
        <v>545</v>
      </c>
      <c r="L24" s="3325"/>
      <c r="M24" s="3326"/>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7" t="s">
        <v>1833</v>
      </c>
      <c r="E28" s="3328"/>
      <c r="F28" s="3329"/>
      <c r="G28" s="3329"/>
      <c r="H28" s="1120"/>
      <c r="I28" s="3330"/>
      <c r="J28" s="3330"/>
      <c r="K28" s="3330"/>
      <c r="L28" s="3330"/>
      <c r="M28" s="3330"/>
      <c r="O28" s="1842" t="s">
        <v>3857</v>
      </c>
      <c r="P28" s="1842"/>
    </row>
    <row r="29" spans="1:19" s="8" customFormat="1" ht="12" customHeight="1">
      <c r="B29" s="1112" t="s">
        <v>1609</v>
      </c>
      <c r="C29" s="1109"/>
      <c r="D29" s="3331" t="s">
        <v>1833</v>
      </c>
      <c r="E29" s="3332"/>
      <c r="F29" s="3333"/>
      <c r="G29" s="3333"/>
      <c r="H29" s="1117"/>
      <c r="I29" s="3334"/>
      <c r="J29" s="3334"/>
      <c r="K29" s="3334"/>
      <c r="L29" s="3335"/>
      <c r="M29" s="3335"/>
      <c r="O29" s="1842"/>
      <c r="P29" s="1842"/>
    </row>
    <row r="30" spans="1:19" s="8" customFormat="1" ht="12" customHeight="1">
      <c r="B30" s="1115" t="s">
        <v>1610</v>
      </c>
      <c r="C30" s="1114"/>
      <c r="D30" s="3331" t="s">
        <v>1833</v>
      </c>
      <c r="E30" s="3332"/>
      <c r="F30" s="3333"/>
      <c r="G30" s="3333"/>
      <c r="H30" s="257"/>
      <c r="I30" s="3334"/>
      <c r="J30" s="3334"/>
      <c r="K30" s="3334"/>
      <c r="L30" s="3335"/>
      <c r="M30" s="3335"/>
      <c r="O30" s="1842"/>
      <c r="P30" s="1842"/>
    </row>
    <row r="31" spans="1:19" s="8" customFormat="1" ht="12" customHeight="1">
      <c r="B31" s="1110" t="s">
        <v>471</v>
      </c>
      <c r="C31" s="258"/>
      <c r="D31" s="1110" t="s">
        <v>1608</v>
      </c>
      <c r="E31" s="258"/>
      <c r="F31" s="3333"/>
      <c r="G31" s="3333"/>
      <c r="H31" s="1116"/>
      <c r="I31" s="3334"/>
      <c r="J31" s="3334"/>
      <c r="K31" s="3334"/>
      <c r="L31" s="3335"/>
      <c r="M31" s="3335"/>
      <c r="O31" s="1842"/>
      <c r="P31" s="1842"/>
    </row>
    <row r="32" spans="1:19" s="8" customFormat="1" ht="12" customHeight="1">
      <c r="B32" s="1111" t="s">
        <v>3829</v>
      </c>
      <c r="C32" s="1109"/>
      <c r="D32" s="1112" t="s">
        <v>1608</v>
      </c>
      <c r="E32" s="1109"/>
      <c r="F32" s="3333"/>
      <c r="G32" s="3333"/>
      <c r="H32" s="1117"/>
      <c r="I32" s="3334"/>
      <c r="J32" s="3334"/>
      <c r="K32" s="3334"/>
      <c r="L32" s="3335"/>
      <c r="M32" s="3335"/>
      <c r="O32" s="1842"/>
      <c r="P32" s="1842"/>
    </row>
    <row r="33" spans="1:19" s="8" customFormat="1" ht="12" customHeight="1">
      <c r="B33" s="1111" t="s">
        <v>3830</v>
      </c>
      <c r="C33" s="1109"/>
      <c r="D33" s="1112" t="s">
        <v>1608</v>
      </c>
      <c r="E33" s="1109"/>
      <c r="F33" s="3333"/>
      <c r="G33" s="3333"/>
      <c r="H33" s="1117"/>
      <c r="I33" s="3334"/>
      <c r="J33" s="3334"/>
      <c r="K33" s="3334"/>
      <c r="L33" s="3335"/>
      <c r="M33" s="3335"/>
      <c r="O33" s="1842"/>
      <c r="P33" s="1842"/>
    </row>
    <row r="34" spans="1:19" s="8" customFormat="1" ht="12" customHeight="1">
      <c r="B34" s="1113" t="s">
        <v>3831</v>
      </c>
      <c r="C34" s="1114"/>
      <c r="D34" s="1115" t="s">
        <v>1608</v>
      </c>
      <c r="E34" s="1109"/>
      <c r="F34" s="3333"/>
      <c r="G34" s="3333"/>
      <c r="H34" s="257"/>
      <c r="I34" s="3334"/>
      <c r="J34" s="3334"/>
      <c r="K34" s="3334"/>
      <c r="L34" s="3335"/>
      <c r="M34" s="3335"/>
      <c r="O34" s="1842"/>
      <c r="P34" s="1842"/>
    </row>
    <row r="35" spans="1:19" s="8" customFormat="1" ht="12" customHeight="1">
      <c r="B35" s="1110" t="s">
        <v>1382</v>
      </c>
      <c r="C35" s="258"/>
      <c r="D35" s="668" t="s">
        <v>3492</v>
      </c>
      <c r="E35" s="3336" t="s">
        <v>203</v>
      </c>
      <c r="F35" s="3333"/>
      <c r="G35" s="3333"/>
      <c r="H35" s="1116"/>
      <c r="I35" s="3334"/>
      <c r="J35" s="3334"/>
      <c r="K35" s="3334"/>
      <c r="L35" s="3335"/>
      <c r="M35" s="3335"/>
      <c r="O35" s="1842"/>
      <c r="P35" s="1842"/>
    </row>
    <row r="36" spans="1:19" s="8" customFormat="1" ht="12" customHeight="1">
      <c r="B36" s="1121" t="s">
        <v>1865</v>
      </c>
      <c r="C36" s="231"/>
      <c r="D36" s="259"/>
      <c r="E36" s="231"/>
      <c r="F36" s="3337"/>
      <c r="G36" s="3337"/>
      <c r="H36" s="1122"/>
      <c r="I36" s="3338"/>
      <c r="J36" s="3338"/>
      <c r="K36" s="3338"/>
      <c r="L36" s="3339"/>
      <c r="M36" s="3339"/>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41" t="s">
        <v>4669</v>
      </c>
      <c r="C41" s="3342"/>
      <c r="D41" s="3342"/>
      <c r="E41" s="3342"/>
      <c r="F41" s="3342"/>
      <c r="G41" s="3342"/>
      <c r="H41" s="3342"/>
      <c r="I41" s="3342"/>
      <c r="J41" s="3342"/>
      <c r="K41" s="3342"/>
      <c r="L41" s="3342"/>
      <c r="M41" s="3343"/>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44"/>
      <c r="C44" s="3345"/>
      <c r="D44" s="3345"/>
      <c r="E44" s="3345"/>
      <c r="F44" s="3345"/>
      <c r="G44" s="3345"/>
      <c r="H44" s="3345"/>
      <c r="I44" s="3345"/>
      <c r="J44" s="3345"/>
      <c r="K44" s="3345"/>
      <c r="L44" s="3345"/>
      <c r="M44" s="3346"/>
      <c r="N44" s="28"/>
      <c r="O44" s="1619"/>
      <c r="P44" s="1619"/>
      <c r="Q44" s="1619"/>
      <c r="R44" s="1619"/>
      <c r="S44" s="1619"/>
    </row>
  </sheetData>
  <sheetProtection algorithmName="SHA-512" hashValue="SAKwGUJnvl3YTNcay4P6d6DYrhNSmmdD1tOnH3nOFJQGcbxxJC5woJhwQn5dcNHz41rFU5pPIRzUamXt7v6GSg==" saltValue="DyOi1OKDu4tEwQS1hD3Ao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2018-05-24T14:47:12Z</cp:lastPrinted>
  <dcterms:created xsi:type="dcterms:W3CDTF">2005-09-15T20:51:37Z</dcterms:created>
  <dcterms:modified xsi:type="dcterms:W3CDTF">2018-08-29T21:55:49Z</dcterms:modified>
</cp:coreProperties>
</file>