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D98DCC22-BBCA-4AA1-8A5F-FD46A6F97EF2}" xr6:coauthVersionLast="31" xr6:coauthVersionMax="31" xr10:uidLastSave="{00000000-0000-0000-0000-000000000000}"/>
  <bookViews>
    <workbookView xWindow="0" yWindow="0" windowWidth="28800" windowHeight="116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G907" i="93" s="1"/>
  <c r="P902" i="93"/>
  <c r="O902" i="93"/>
  <c r="N902" i="93"/>
  <c r="M902" i="93"/>
  <c r="L902" i="93"/>
  <c r="K902" i="93"/>
  <c r="J902" i="93"/>
  <c r="I902" i="93"/>
  <c r="I903" i="93" s="1"/>
  <c r="H902" i="93"/>
  <c r="G902" i="93"/>
  <c r="P901" i="93"/>
  <c r="O901" i="93"/>
  <c r="N901" i="93"/>
  <c r="N903" i="93" s="1"/>
  <c r="M901" i="93"/>
  <c r="L901" i="93"/>
  <c r="K901" i="93"/>
  <c r="J901" i="93"/>
  <c r="J903" i="93" s="1"/>
  <c r="I901" i="93"/>
  <c r="H901" i="93"/>
  <c r="G901" i="93"/>
  <c r="P897" i="93"/>
  <c r="O897" i="93"/>
  <c r="N897" i="93"/>
  <c r="M897" i="93"/>
  <c r="L897" i="93"/>
  <c r="K897" i="93"/>
  <c r="J897" i="93"/>
  <c r="I897" i="93"/>
  <c r="H897" i="93"/>
  <c r="G897" i="93"/>
  <c r="P896" i="93"/>
  <c r="O896" i="93"/>
  <c r="N896" i="93"/>
  <c r="M896" i="93"/>
  <c r="L896" i="93"/>
  <c r="K896" i="93"/>
  <c r="K898" i="93" s="1"/>
  <c r="J896" i="93"/>
  <c r="I896" i="93"/>
  <c r="H896" i="93"/>
  <c r="G896" i="93"/>
  <c r="G898" i="93" s="1"/>
  <c r="P893" i="93"/>
  <c r="O893" i="93"/>
  <c r="N893" i="93"/>
  <c r="M893" i="93"/>
  <c r="L893" i="93"/>
  <c r="K893" i="93"/>
  <c r="J893" i="93"/>
  <c r="I893" i="93"/>
  <c r="H893" i="93"/>
  <c r="G893" i="93"/>
  <c r="P892" i="93"/>
  <c r="O892" i="93"/>
  <c r="O894" i="93" s="1"/>
  <c r="N892" i="93"/>
  <c r="M892" i="93"/>
  <c r="L892" i="93"/>
  <c r="K892" i="93"/>
  <c r="K894" i="93" s="1"/>
  <c r="J892" i="93"/>
  <c r="J894" i="93" s="1"/>
  <c r="I892" i="93"/>
  <c r="H892" i="93"/>
  <c r="G892" i="93"/>
  <c r="P888" i="93"/>
  <c r="O888" i="93"/>
  <c r="N888" i="93"/>
  <c r="M888" i="93"/>
  <c r="M889" i="93" s="1"/>
  <c r="L888" i="93"/>
  <c r="K888" i="93"/>
  <c r="J888" i="93"/>
  <c r="I888" i="93"/>
  <c r="H888" i="93"/>
  <c r="G888" i="93"/>
  <c r="P887" i="93"/>
  <c r="O887" i="93"/>
  <c r="N887" i="93"/>
  <c r="M887" i="93"/>
  <c r="L887" i="93"/>
  <c r="K887" i="93"/>
  <c r="J887" i="93"/>
  <c r="I887" i="93"/>
  <c r="H887" i="93"/>
  <c r="G887" i="93"/>
  <c r="H883" i="93"/>
  <c r="H885" i="93" s="1"/>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JL785" i="93" s="1"/>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IG785" i="93" s="1"/>
  <c r="B786" i="93"/>
  <c r="B787" i="93"/>
  <c r="B788" i="93"/>
  <c r="B789" i="93"/>
  <c r="IE789" i="93" s="1"/>
  <c r="B790" i="93"/>
  <c r="B791" i="93"/>
  <c r="B792" i="93"/>
  <c r="B793" i="93"/>
  <c r="IG793" i="93" s="1"/>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K912" i="93"/>
  <c r="J912" i="93"/>
  <c r="S909" i="93"/>
  <c r="K907" i="93"/>
  <c r="R904" i="93"/>
  <c r="S900" i="93"/>
  <c r="O898" i="93"/>
  <c r="R895" i="93"/>
  <c r="N894" i="93"/>
  <c r="G894" i="93"/>
  <c r="S891" i="93"/>
  <c r="R886" i="93"/>
  <c r="P885" i="93"/>
  <c r="M885" i="93"/>
  <c r="I885" i="93"/>
  <c r="R882" i="93"/>
  <c r="R881" i="93"/>
  <c r="R879" i="93"/>
  <c r="R869" i="93"/>
  <c r="R860" i="93"/>
  <c r="R842" i="93"/>
  <c r="R828" i="93"/>
  <c r="R824" i="93"/>
  <c r="R820" i="93"/>
  <c r="R810" i="93"/>
  <c r="JR805" i="93"/>
  <c r="HE804" i="93"/>
  <c r="HD804" i="93"/>
  <c r="FQ804" i="93"/>
  <c r="FI804" i="93"/>
  <c r="BY804" i="93"/>
  <c r="BV804" i="93"/>
  <c r="GR803" i="93"/>
  <c r="GB803" i="93"/>
  <c r="EW803" i="93"/>
  <c r="CT803" i="93"/>
  <c r="IA801" i="93"/>
  <c r="HE801" i="93"/>
  <c r="GO801" i="93"/>
  <c r="FT801" i="93"/>
  <c r="FO801" i="93"/>
  <c r="CY801" i="93"/>
  <c r="CX801" i="93"/>
  <c r="CD801" i="93"/>
  <c r="BF801" i="93"/>
  <c r="AM801" i="93"/>
  <c r="JQ800" i="93"/>
  <c r="JF800" i="93"/>
  <c r="HT800" i="93"/>
  <c r="HL800" i="93"/>
  <c r="GY800" i="93"/>
  <c r="GQ800" i="93"/>
  <c r="GB800" i="93"/>
  <c r="FT800" i="93"/>
  <c r="FH800" i="93"/>
  <c r="EZ800" i="93"/>
  <c r="CT800" i="93"/>
  <c r="ID799" i="93"/>
  <c r="HN799" i="93"/>
  <c r="FR799" i="93"/>
  <c r="FB799" i="93"/>
  <c r="DP799" i="93"/>
  <c r="DC799" i="93"/>
  <c r="JN797" i="93"/>
  <c r="IL797" i="93"/>
  <c r="IB797" i="93"/>
  <c r="HW797" i="93"/>
  <c r="HR797" i="93"/>
  <c r="HL797" i="93"/>
  <c r="HK797" i="93"/>
  <c r="HB797" i="93"/>
  <c r="GZ797" i="93"/>
  <c r="GV797" i="93"/>
  <c r="GP797" i="93"/>
  <c r="GL797" i="93"/>
  <c r="GF797" i="93"/>
  <c r="GA797" i="93"/>
  <c r="FV797" i="93"/>
  <c r="FT797" i="93"/>
  <c r="FK797" i="93"/>
  <c r="FJ797" i="93"/>
  <c r="FF797" i="93"/>
  <c r="EY797" i="93"/>
  <c r="EX797" i="93"/>
  <c r="EI797" i="93"/>
  <c r="DX797" i="93"/>
  <c r="DN797" i="93"/>
  <c r="DJ797" i="93"/>
  <c r="CX797" i="93"/>
  <c r="CT797" i="93"/>
  <c r="CR797" i="93"/>
  <c r="CI797" i="93"/>
  <c r="CH797" i="93"/>
  <c r="CB797" i="93"/>
  <c r="BW797" i="93"/>
  <c r="BR797" i="93"/>
  <c r="BN797" i="93"/>
  <c r="BG797" i="93"/>
  <c r="BC797" i="93"/>
  <c r="BB797" i="93"/>
  <c r="AS797" i="93"/>
  <c r="AR797" i="93"/>
  <c r="AN797" i="93"/>
  <c r="AJ797" i="93"/>
  <c r="AF797" i="93"/>
  <c r="AC797" i="93"/>
  <c r="X797" i="93"/>
  <c r="JP796" i="93"/>
  <c r="JL796" i="93"/>
  <c r="JE796" i="93"/>
  <c r="IC796" i="93"/>
  <c r="HV796" i="93"/>
  <c r="HR796" i="93"/>
  <c r="HL796" i="93"/>
  <c r="HH796" i="93"/>
  <c r="HA796" i="93"/>
  <c r="GW796" i="93"/>
  <c r="GP796" i="93"/>
  <c r="GL796" i="93"/>
  <c r="GF796" i="93"/>
  <c r="GB796" i="93"/>
  <c r="FU796" i="93"/>
  <c r="FQ796" i="93"/>
  <c r="FJ796" i="93"/>
  <c r="FF796" i="93"/>
  <c r="EZ796" i="93"/>
  <c r="EU796" i="93"/>
  <c r="CX796" i="93"/>
  <c r="BY796" i="93"/>
  <c r="JG795" i="93"/>
  <c r="HR795" i="93"/>
  <c r="HB795" i="93"/>
  <c r="GL795" i="93"/>
  <c r="FV795" i="93"/>
  <c r="FF795" i="93"/>
  <c r="EY795" i="93"/>
  <c r="ES795" i="93"/>
  <c r="DP795" i="93"/>
  <c r="CY795" i="93"/>
  <c r="CQ795" i="93"/>
  <c r="BD795" i="93"/>
  <c r="AI795" i="93"/>
  <c r="EW794" i="93"/>
  <c r="JB793" i="93"/>
  <c r="IX793" i="93"/>
  <c r="IS793" i="93"/>
  <c r="IN793" i="93"/>
  <c r="IK793" i="93"/>
  <c r="IJ793" i="93"/>
  <c r="IF793" i="93"/>
  <c r="ID793" i="93"/>
  <c r="IC793" i="93"/>
  <c r="HZ793" i="93"/>
  <c r="HY793" i="93"/>
  <c r="HW793" i="93"/>
  <c r="HU793" i="93"/>
  <c r="HS793" i="93"/>
  <c r="HR793" i="93"/>
  <c r="HO793" i="93"/>
  <c r="HN793" i="93"/>
  <c r="HM793" i="93"/>
  <c r="HJ793" i="93"/>
  <c r="HI793" i="93"/>
  <c r="HG793" i="93"/>
  <c r="HE793" i="93"/>
  <c r="HC793" i="93"/>
  <c r="HB793" i="93"/>
  <c r="GY793" i="93"/>
  <c r="GX793" i="93"/>
  <c r="GW793" i="93"/>
  <c r="GT793" i="93"/>
  <c r="GS793" i="93"/>
  <c r="GQ793" i="93"/>
  <c r="GO793" i="93"/>
  <c r="GM793" i="93"/>
  <c r="GL793" i="93"/>
  <c r="GI793" i="93"/>
  <c r="GH793" i="93"/>
  <c r="GG793" i="93"/>
  <c r="GD793" i="93"/>
  <c r="GC793" i="93"/>
  <c r="GA793" i="93"/>
  <c r="FY793" i="93"/>
  <c r="FW793" i="93"/>
  <c r="FV793" i="93"/>
  <c r="FS793" i="93"/>
  <c r="FR793" i="93"/>
  <c r="FQ793" i="93"/>
  <c r="FN793" i="93"/>
  <c r="FM793" i="93"/>
  <c r="FK793" i="93"/>
  <c r="FI793" i="93"/>
  <c r="FG793" i="93"/>
  <c r="FF793" i="93"/>
  <c r="FC793" i="93"/>
  <c r="FB793" i="93"/>
  <c r="FA793" i="93"/>
  <c r="EX793" i="93"/>
  <c r="EW793" i="93"/>
  <c r="ER793" i="93"/>
  <c r="EL793" i="93"/>
  <c r="EG793" i="93"/>
  <c r="EF793" i="93"/>
  <c r="DV793" i="93"/>
  <c r="DU793" i="93"/>
  <c r="DQ793" i="93"/>
  <c r="DJ793" i="93"/>
  <c r="DF793" i="93"/>
  <c r="DB793" i="93"/>
  <c r="CZ793" i="93"/>
  <c r="CW793" i="93"/>
  <c r="CV793" i="93"/>
  <c r="CR793" i="93"/>
  <c r="CP793" i="93"/>
  <c r="CO793" i="93"/>
  <c r="CK793" i="93"/>
  <c r="CJ793" i="93"/>
  <c r="CG793" i="93"/>
  <c r="CD793" i="93"/>
  <c r="CB793" i="93"/>
  <c r="BZ793" i="93"/>
  <c r="BV793" i="93"/>
  <c r="BU793" i="93"/>
  <c r="BT793" i="93"/>
  <c r="BP793" i="93"/>
  <c r="BN793" i="93"/>
  <c r="BL793" i="93"/>
  <c r="BI793" i="93"/>
  <c r="BF793" i="93"/>
  <c r="BE793" i="93"/>
  <c r="BA793" i="93"/>
  <c r="AZ793" i="93"/>
  <c r="AX793" i="93"/>
  <c r="AT793" i="93"/>
  <c r="AS793" i="93"/>
  <c r="AP793" i="93"/>
  <c r="AN793" i="93"/>
  <c r="AK793" i="93"/>
  <c r="AJ793" i="93"/>
  <c r="AF793" i="93"/>
  <c r="AE793" i="93"/>
  <c r="AD793" i="93"/>
  <c r="AA793" i="93"/>
  <c r="Z793" i="93"/>
  <c r="X793" i="93"/>
  <c r="JO792" i="93"/>
  <c r="JN792" i="93"/>
  <c r="JJ792" i="93"/>
  <c r="JI792" i="93"/>
  <c r="JE792" i="93"/>
  <c r="JC792" i="93"/>
  <c r="IA792" i="93"/>
  <c r="HZ792" i="93"/>
  <c r="HV792" i="93"/>
  <c r="HU792" i="93"/>
  <c r="HQ792" i="93"/>
  <c r="HO792" i="93"/>
  <c r="HK792" i="93"/>
  <c r="HJ792" i="93"/>
  <c r="HF792" i="93"/>
  <c r="HE792" i="93"/>
  <c r="HA792" i="93"/>
  <c r="GY792" i="93"/>
  <c r="GU792" i="93"/>
  <c r="GT792" i="93"/>
  <c r="GP792" i="93"/>
  <c r="GO792" i="93"/>
  <c r="GK792" i="93"/>
  <c r="GI792" i="93"/>
  <c r="GE792" i="93"/>
  <c r="GD792" i="93"/>
  <c r="FZ792" i="93"/>
  <c r="FY792" i="93"/>
  <c r="FU792" i="93"/>
  <c r="FS792" i="93"/>
  <c r="FO792" i="93"/>
  <c r="FN792" i="93"/>
  <c r="FJ792" i="93"/>
  <c r="FI792" i="93"/>
  <c r="FE792" i="93"/>
  <c r="FC792" i="93"/>
  <c r="EY792" i="93"/>
  <c r="EX792" i="93"/>
  <c r="DB792" i="93"/>
  <c r="DA792" i="93"/>
  <c r="CW792" i="93"/>
  <c r="CT792" i="93"/>
  <c r="BW792" i="93"/>
  <c r="BV792" i="93"/>
  <c r="JI791" i="93"/>
  <c r="IV791" i="93"/>
  <c r="IH791" i="93"/>
  <c r="HT791" i="93"/>
  <c r="HD791" i="93"/>
  <c r="GS791" i="93"/>
  <c r="GK791" i="93"/>
  <c r="GC791" i="93"/>
  <c r="FU791" i="93"/>
  <c r="FM791" i="93"/>
  <c r="FE791" i="93"/>
  <c r="EY791" i="93"/>
  <c r="ET791" i="93"/>
  <c r="EF791" i="93"/>
  <c r="DR791" i="93"/>
  <c r="CN791" i="93"/>
  <c r="BZ791" i="93"/>
  <c r="BB791" i="93"/>
  <c r="HS790" i="93"/>
  <c r="FW790" i="93"/>
  <c r="FG790" i="93"/>
  <c r="JP789" i="93"/>
  <c r="JB789" i="93"/>
  <c r="IY789" i="93"/>
  <c r="IT789" i="93"/>
  <c r="IQ789" i="93"/>
  <c r="IP789" i="93"/>
  <c r="IK789" i="93"/>
  <c r="IJ789" i="93"/>
  <c r="IH789" i="93"/>
  <c r="IF789" i="93"/>
  <c r="ID789" i="93"/>
  <c r="IC789" i="93"/>
  <c r="HZ789" i="93"/>
  <c r="HY789" i="93"/>
  <c r="HX789" i="93"/>
  <c r="HU789" i="93"/>
  <c r="HT789" i="93"/>
  <c r="HR789" i="93"/>
  <c r="HP789" i="93"/>
  <c r="HO789" i="93"/>
  <c r="HN789" i="93"/>
  <c r="HL789" i="93"/>
  <c r="HK789" i="93"/>
  <c r="HJ789" i="93"/>
  <c r="HH789" i="93"/>
  <c r="HG789" i="93"/>
  <c r="HF789" i="93"/>
  <c r="HD789" i="93"/>
  <c r="HC789" i="93"/>
  <c r="HB789" i="93"/>
  <c r="GZ789" i="93"/>
  <c r="GY789" i="93"/>
  <c r="GX789" i="93"/>
  <c r="GV789" i="93"/>
  <c r="GU789" i="93"/>
  <c r="GT789" i="93"/>
  <c r="GR789" i="93"/>
  <c r="GQ789" i="93"/>
  <c r="GP789" i="93"/>
  <c r="GN789" i="93"/>
  <c r="GM789" i="93"/>
  <c r="GL789" i="93"/>
  <c r="GJ789" i="93"/>
  <c r="GI789" i="93"/>
  <c r="GH789" i="93"/>
  <c r="GF789" i="93"/>
  <c r="GE789" i="93"/>
  <c r="GD789" i="93"/>
  <c r="GB789" i="93"/>
  <c r="GA789" i="93"/>
  <c r="FZ789" i="93"/>
  <c r="FX789" i="93"/>
  <c r="FW789" i="93"/>
  <c r="FV789" i="93"/>
  <c r="FT789" i="93"/>
  <c r="FS789" i="93"/>
  <c r="FR789" i="93"/>
  <c r="FP789" i="93"/>
  <c r="FO789" i="93"/>
  <c r="FN789" i="93"/>
  <c r="FL789" i="93"/>
  <c r="FK789" i="93"/>
  <c r="FJ789" i="93"/>
  <c r="FH789" i="93"/>
  <c r="FG789" i="93"/>
  <c r="FF789" i="93"/>
  <c r="FD789" i="93"/>
  <c r="FC789" i="93"/>
  <c r="FB789" i="93"/>
  <c r="EZ789" i="93"/>
  <c r="EY789" i="93"/>
  <c r="EX789" i="93"/>
  <c r="EU789" i="93"/>
  <c r="ET789" i="93"/>
  <c r="EQ789" i="93"/>
  <c r="EM789" i="93"/>
  <c r="EL789" i="93"/>
  <c r="EI789" i="93"/>
  <c r="EE789" i="93"/>
  <c r="ED789" i="93"/>
  <c r="EA789" i="93"/>
  <c r="DW789" i="93"/>
  <c r="DV789" i="93"/>
  <c r="DS789" i="93"/>
  <c r="DO789" i="93"/>
  <c r="DN789" i="93"/>
  <c r="DK789" i="93"/>
  <c r="DG789" i="93"/>
  <c r="DF789" i="93"/>
  <c r="DC789" i="93"/>
  <c r="DA789" i="93"/>
  <c r="CZ789" i="93"/>
  <c r="CY789" i="93"/>
  <c r="CW789" i="93"/>
  <c r="CV789" i="93"/>
  <c r="CU789" i="93"/>
  <c r="CS789" i="93"/>
  <c r="CR789" i="93"/>
  <c r="CQ789" i="93"/>
  <c r="CO789" i="93"/>
  <c r="CN789" i="93"/>
  <c r="CM789" i="93"/>
  <c r="CK789" i="93"/>
  <c r="CJ789" i="93"/>
  <c r="CI789" i="93"/>
  <c r="CG789" i="93"/>
  <c r="CF789" i="93"/>
  <c r="CE789" i="93"/>
  <c r="CC789" i="93"/>
  <c r="CB789" i="93"/>
  <c r="CA789" i="93"/>
  <c r="BY789" i="93"/>
  <c r="BX789" i="93"/>
  <c r="BW789" i="93"/>
  <c r="BU789" i="93"/>
  <c r="BT789" i="93"/>
  <c r="BS789" i="93"/>
  <c r="BQ789" i="93"/>
  <c r="BP789" i="93"/>
  <c r="BO789" i="93"/>
  <c r="BM789" i="93"/>
  <c r="BL789" i="93"/>
  <c r="BK789" i="93"/>
  <c r="BI789" i="93"/>
  <c r="BH789" i="93"/>
  <c r="BG789" i="93"/>
  <c r="BE789" i="93"/>
  <c r="BD789" i="93"/>
  <c r="BC789" i="93"/>
  <c r="BA789" i="93"/>
  <c r="AZ789" i="93"/>
  <c r="AY789" i="93"/>
  <c r="AW789" i="93"/>
  <c r="AV789" i="93"/>
  <c r="AU789" i="93"/>
  <c r="AS789" i="93"/>
  <c r="AR789" i="93"/>
  <c r="AQ789" i="93"/>
  <c r="AO789" i="93"/>
  <c r="AN789" i="93"/>
  <c r="AM789" i="93"/>
  <c r="AK789" i="93"/>
  <c r="AJ789" i="93"/>
  <c r="AI789" i="93"/>
  <c r="AG789" i="93"/>
  <c r="AF789" i="93"/>
  <c r="AE789" i="93"/>
  <c r="AC789" i="93"/>
  <c r="AB789" i="93"/>
  <c r="AA789" i="93"/>
  <c r="Y789" i="93"/>
  <c r="X789" i="93"/>
  <c r="W789" i="93"/>
  <c r="JO788" i="93"/>
  <c r="JN788" i="93"/>
  <c r="JK788" i="93"/>
  <c r="JJ788" i="93"/>
  <c r="JG788" i="93"/>
  <c r="JF788" i="93"/>
  <c r="JC788" i="93"/>
  <c r="IH788" i="93"/>
  <c r="IA788" i="93"/>
  <c r="HZ788" i="93"/>
  <c r="HW788" i="93"/>
  <c r="HV788" i="93"/>
  <c r="HS788" i="93"/>
  <c r="HR788" i="93"/>
  <c r="HO788" i="93"/>
  <c r="HN788" i="93"/>
  <c r="HK788" i="93"/>
  <c r="HJ788" i="93"/>
  <c r="HG788" i="93"/>
  <c r="HF788" i="93"/>
  <c r="HC788" i="93"/>
  <c r="HB788" i="93"/>
  <c r="GY788" i="93"/>
  <c r="GX788" i="93"/>
  <c r="GU788" i="93"/>
  <c r="GT788" i="93"/>
  <c r="GQ788" i="93"/>
  <c r="GP788" i="93"/>
  <c r="GM788" i="93"/>
  <c r="GL788" i="93"/>
  <c r="GI788" i="93"/>
  <c r="GH788" i="93"/>
  <c r="GE788" i="93"/>
  <c r="GD788" i="93"/>
  <c r="GA788" i="93"/>
  <c r="FZ788" i="93"/>
  <c r="FW788" i="93"/>
  <c r="FV788" i="93"/>
  <c r="FS788" i="93"/>
  <c r="FR788" i="93"/>
  <c r="FO788" i="93"/>
  <c r="FN788" i="93"/>
  <c r="FL788" i="93"/>
  <c r="FK788" i="93"/>
  <c r="FJ788" i="93"/>
  <c r="FH788" i="93"/>
  <c r="FG788" i="93"/>
  <c r="FF788" i="93"/>
  <c r="FD788" i="93"/>
  <c r="FC788" i="93"/>
  <c r="FB788" i="93"/>
  <c r="EZ788" i="93"/>
  <c r="EY788" i="93"/>
  <c r="EX788" i="93"/>
  <c r="EG788" i="93"/>
  <c r="DL788" i="93"/>
  <c r="DC788" i="93"/>
  <c r="DA788" i="93"/>
  <c r="CZ788" i="93"/>
  <c r="CY788" i="93"/>
  <c r="CW788" i="93"/>
  <c r="CU788" i="93"/>
  <c r="CT788" i="93"/>
  <c r="BY788" i="93"/>
  <c r="BX788" i="93"/>
  <c r="BW788" i="93"/>
  <c r="BU788" i="93"/>
  <c r="BP788" i="93"/>
  <c r="AT788" i="93"/>
  <c r="JP787" i="93"/>
  <c r="JJ787" i="93"/>
  <c r="JD787" i="93"/>
  <c r="IK787" i="93"/>
  <c r="HZ787" i="93"/>
  <c r="HR787" i="93"/>
  <c r="HJ787" i="93"/>
  <c r="HB787" i="93"/>
  <c r="GT787" i="93"/>
  <c r="GL787" i="93"/>
  <c r="GD787" i="93"/>
  <c r="FV787" i="93"/>
  <c r="FN787" i="93"/>
  <c r="FF787" i="93"/>
  <c r="EZ787" i="93"/>
  <c r="EU787" i="93"/>
  <c r="EK787" i="93"/>
  <c r="DZ787" i="93"/>
  <c r="DE787" i="93"/>
  <c r="CZ787" i="93"/>
  <c r="CT787" i="93"/>
  <c r="BZ787" i="93"/>
  <c r="BV787" i="93"/>
  <c r="BF787" i="93"/>
  <c r="AE787" i="93"/>
  <c r="A787" i="93"/>
  <c r="HY786" i="93"/>
  <c r="GS786" i="93"/>
  <c r="FB786" i="93"/>
  <c r="AP786" i="93"/>
  <c r="JP785" i="93"/>
  <c r="JH785" i="93"/>
  <c r="JA785" i="93"/>
  <c r="IZ785" i="93"/>
  <c r="IV785" i="93"/>
  <c r="IS785" i="93"/>
  <c r="IR785" i="93"/>
  <c r="IN785" i="93"/>
  <c r="IM785" i="93"/>
  <c r="IL785" i="93"/>
  <c r="IJ785" i="93"/>
  <c r="II785" i="93"/>
  <c r="IH785" i="93"/>
  <c r="IF785" i="93"/>
  <c r="IE785" i="93"/>
  <c r="ID785" i="93"/>
  <c r="IB785" i="93"/>
  <c r="IA785" i="93"/>
  <c r="HZ785" i="93"/>
  <c r="HX785" i="93"/>
  <c r="HW785" i="93"/>
  <c r="HV785" i="93"/>
  <c r="HT785" i="93"/>
  <c r="HS785" i="93"/>
  <c r="HR785" i="93"/>
  <c r="HP785" i="93"/>
  <c r="HO785" i="93"/>
  <c r="HN785" i="93"/>
  <c r="HL785" i="93"/>
  <c r="HK785" i="93"/>
  <c r="HJ785" i="93"/>
  <c r="HH785" i="93"/>
  <c r="HG785" i="93"/>
  <c r="HF785" i="93"/>
  <c r="HD785" i="93"/>
  <c r="HC785" i="93"/>
  <c r="HB785" i="93"/>
  <c r="GZ785" i="93"/>
  <c r="GY785" i="93"/>
  <c r="GX785" i="93"/>
  <c r="GV785" i="93"/>
  <c r="GU785" i="93"/>
  <c r="GT785" i="93"/>
  <c r="GR785" i="93"/>
  <c r="GQ785" i="93"/>
  <c r="GP785" i="93"/>
  <c r="GN785" i="93"/>
  <c r="GM785" i="93"/>
  <c r="GL785" i="93"/>
  <c r="GJ785" i="93"/>
  <c r="GI785" i="93"/>
  <c r="GH785" i="93"/>
  <c r="GF785" i="93"/>
  <c r="GE785" i="93"/>
  <c r="GD785" i="93"/>
  <c r="GB785" i="93"/>
  <c r="GA785" i="93"/>
  <c r="FZ785" i="93"/>
  <c r="FX785" i="93"/>
  <c r="FW785" i="93"/>
  <c r="FV785" i="93"/>
  <c r="FT785" i="93"/>
  <c r="FS785" i="93"/>
  <c r="FR785" i="93"/>
  <c r="FP785" i="93"/>
  <c r="FO785" i="93"/>
  <c r="FN785" i="93"/>
  <c r="FL785" i="93"/>
  <c r="FK785" i="93"/>
  <c r="FJ785" i="93"/>
  <c r="FH785" i="93"/>
  <c r="FG785" i="93"/>
  <c r="FF785" i="93"/>
  <c r="FD785" i="93"/>
  <c r="FC785" i="93"/>
  <c r="FB785" i="93"/>
  <c r="EZ785" i="93"/>
  <c r="EY785" i="93"/>
  <c r="EX785" i="93"/>
  <c r="EV785" i="93"/>
  <c r="ES785" i="93"/>
  <c r="ER785" i="93"/>
  <c r="EN785" i="93"/>
  <c r="EK785" i="93"/>
  <c r="EJ785" i="93"/>
  <c r="EF785" i="93"/>
  <c r="EC785" i="93"/>
  <c r="EB785" i="93"/>
  <c r="DX785" i="93"/>
  <c r="DU785" i="93"/>
  <c r="DT785" i="93"/>
  <c r="DP785" i="93"/>
  <c r="DM785" i="93"/>
  <c r="DL785" i="93"/>
  <c r="DH785" i="93"/>
  <c r="DE785" i="93"/>
  <c r="DD785" i="93"/>
  <c r="DB785" i="93"/>
  <c r="DA785" i="93"/>
  <c r="CZ785" i="93"/>
  <c r="CX785" i="93"/>
  <c r="CW785" i="93"/>
  <c r="CV785" i="93"/>
  <c r="CT785" i="93"/>
  <c r="CS785" i="93"/>
  <c r="CR785" i="93"/>
  <c r="CP785" i="93"/>
  <c r="CO785" i="93"/>
  <c r="CN785" i="93"/>
  <c r="CL785" i="93"/>
  <c r="CK785" i="93"/>
  <c r="CJ785" i="93"/>
  <c r="CH785" i="93"/>
  <c r="CG785" i="93"/>
  <c r="CF785" i="93"/>
  <c r="CD785" i="93"/>
  <c r="CC785" i="93"/>
  <c r="CB785" i="93"/>
  <c r="BZ785" i="93"/>
  <c r="BY785" i="93"/>
  <c r="BX785" i="93"/>
  <c r="BV785" i="93"/>
  <c r="BU785" i="93"/>
  <c r="BT785" i="93"/>
  <c r="BR785" i="93"/>
  <c r="BQ785" i="93"/>
  <c r="BP785" i="93"/>
  <c r="BN785" i="93"/>
  <c r="BM785" i="93"/>
  <c r="BL785" i="93"/>
  <c r="BJ785" i="93"/>
  <c r="BI785" i="93"/>
  <c r="BH785" i="93"/>
  <c r="BF785" i="93"/>
  <c r="BE785" i="93"/>
  <c r="BD785" i="93"/>
  <c r="BB785" i="93"/>
  <c r="BA785" i="93"/>
  <c r="AZ785" i="93"/>
  <c r="AX785" i="93"/>
  <c r="AW785" i="93"/>
  <c r="AV785" i="93"/>
  <c r="AT785" i="93"/>
  <c r="AS785" i="93"/>
  <c r="AR785" i="93"/>
  <c r="AP785" i="93"/>
  <c r="AO785" i="93"/>
  <c r="AN785" i="93"/>
  <c r="AL785" i="93"/>
  <c r="AK785" i="93"/>
  <c r="AJ785" i="93"/>
  <c r="AH785" i="93"/>
  <c r="AG785" i="93"/>
  <c r="AF785" i="93"/>
  <c r="AD785" i="93"/>
  <c r="AC785" i="93"/>
  <c r="AB785" i="93"/>
  <c r="Z785" i="93"/>
  <c r="Y785" i="93"/>
  <c r="X785" i="93"/>
  <c r="JQ784" i="93"/>
  <c r="JP784" i="93"/>
  <c r="JO784" i="93"/>
  <c r="JM784" i="93"/>
  <c r="JL784" i="93"/>
  <c r="JK784" i="93"/>
  <c r="JI784" i="93"/>
  <c r="JH784" i="93"/>
  <c r="JG784" i="93"/>
  <c r="JE784" i="93"/>
  <c r="JD784" i="93"/>
  <c r="JC784" i="93"/>
  <c r="ID784" i="93"/>
  <c r="IC784" i="93"/>
  <c r="IB784" i="93"/>
  <c r="HZ784" i="93"/>
  <c r="HY784" i="93"/>
  <c r="HX784" i="93"/>
  <c r="HV784" i="93"/>
  <c r="HU784" i="93"/>
  <c r="HT784" i="93"/>
  <c r="HR784" i="93"/>
  <c r="HQ784" i="93"/>
  <c r="HP784" i="93"/>
  <c r="HN784" i="93"/>
  <c r="HM784" i="93"/>
  <c r="HL784" i="93"/>
  <c r="HJ784" i="93"/>
  <c r="HI784" i="93"/>
  <c r="HH784" i="93"/>
  <c r="HF784" i="93"/>
  <c r="HE784" i="93"/>
  <c r="HD784" i="93"/>
  <c r="HB784" i="93"/>
  <c r="HA784" i="93"/>
  <c r="GZ784" i="93"/>
  <c r="GX784" i="93"/>
  <c r="GW784" i="93"/>
  <c r="GV784" i="93"/>
  <c r="GT784" i="93"/>
  <c r="GS784" i="93"/>
  <c r="GR784" i="93"/>
  <c r="GP784" i="93"/>
  <c r="GO784" i="93"/>
  <c r="GN784" i="93"/>
  <c r="GL784" i="93"/>
  <c r="GK784" i="93"/>
  <c r="GJ784" i="93"/>
  <c r="GH784" i="93"/>
  <c r="GG784" i="93"/>
  <c r="GF784" i="93"/>
  <c r="GD784" i="93"/>
  <c r="GC784" i="93"/>
  <c r="GB784" i="93"/>
  <c r="FZ784" i="93"/>
  <c r="FY784" i="93"/>
  <c r="FX784" i="93"/>
  <c r="FV784" i="93"/>
  <c r="FU784" i="93"/>
  <c r="FT784" i="93"/>
  <c r="FR784" i="93"/>
  <c r="FQ784" i="93"/>
  <c r="FP784" i="93"/>
  <c r="FN784" i="93"/>
  <c r="FM784" i="93"/>
  <c r="FL784" i="93"/>
  <c r="FJ784" i="93"/>
  <c r="FI784" i="93"/>
  <c r="FH784" i="93"/>
  <c r="FF784" i="93"/>
  <c r="FE784" i="93"/>
  <c r="FD784" i="93"/>
  <c r="FB784" i="93"/>
  <c r="FA784" i="93"/>
  <c r="EZ784" i="93"/>
  <c r="EX784" i="93"/>
  <c r="EW784" i="93"/>
  <c r="EH784" i="93"/>
  <c r="DC784" i="93"/>
  <c r="DB784" i="93"/>
  <c r="DA784" i="93"/>
  <c r="CY784" i="93"/>
  <c r="CX784" i="93"/>
  <c r="CW784" i="93"/>
  <c r="CU784" i="93"/>
  <c r="CT784" i="93"/>
  <c r="CP784" i="93"/>
  <c r="BX784" i="93"/>
  <c r="BW784" i="93"/>
  <c r="BV784" i="93"/>
  <c r="BA784" i="93"/>
  <c r="AF784" i="93"/>
  <c r="JO783" i="93"/>
  <c r="JN783" i="93"/>
  <c r="JJ783" i="93"/>
  <c r="JI783" i="93"/>
  <c r="JF783" i="93"/>
  <c r="JD783" i="93"/>
  <c r="JA783" i="93"/>
  <c r="IW783" i="93"/>
  <c r="IP783" i="93"/>
  <c r="IL783" i="93"/>
  <c r="IF783" i="93"/>
  <c r="IC783" i="93"/>
  <c r="HY783" i="93"/>
  <c r="HX783" i="93"/>
  <c r="HT783" i="93"/>
  <c r="HS783" i="93"/>
  <c r="HO783" i="93"/>
  <c r="HN783" i="93"/>
  <c r="HK783" i="93"/>
  <c r="HJ783" i="93"/>
  <c r="HG783" i="93"/>
  <c r="HF783" i="93"/>
  <c r="HC783" i="93"/>
  <c r="HB783" i="93"/>
  <c r="GY783" i="93"/>
  <c r="GX783" i="93"/>
  <c r="GU783" i="93"/>
  <c r="GT783" i="93"/>
  <c r="GQ783" i="93"/>
  <c r="GP783" i="93"/>
  <c r="GM783" i="93"/>
  <c r="GL783" i="93"/>
  <c r="GK783" i="93"/>
  <c r="GI783" i="93"/>
  <c r="GH783" i="93"/>
  <c r="GG783" i="93"/>
  <c r="GE783" i="93"/>
  <c r="GD783" i="93"/>
  <c r="GC783" i="93"/>
  <c r="GA783" i="93"/>
  <c r="FZ783" i="93"/>
  <c r="FY783" i="93"/>
  <c r="FW783" i="93"/>
  <c r="FV783" i="93"/>
  <c r="FU783" i="93"/>
  <c r="FS783" i="93"/>
  <c r="FR783" i="93"/>
  <c r="FQ783" i="93"/>
  <c r="FO783" i="93"/>
  <c r="FN783" i="93"/>
  <c r="FM783" i="93"/>
  <c r="FK783" i="93"/>
  <c r="FJ783" i="93"/>
  <c r="FI783" i="93"/>
  <c r="FG783" i="93"/>
  <c r="FF783" i="93"/>
  <c r="FE783" i="93"/>
  <c r="FC783" i="93"/>
  <c r="FB783" i="93"/>
  <c r="FA783" i="93"/>
  <c r="EY783" i="93"/>
  <c r="EX783" i="93"/>
  <c r="EW783" i="93"/>
  <c r="ET783" i="93"/>
  <c r="EP783" i="93"/>
  <c r="EO783" i="93"/>
  <c r="EJ783" i="93"/>
  <c r="EF783" i="93"/>
  <c r="ED783" i="93"/>
  <c r="DY783" i="93"/>
  <c r="DU783" i="93"/>
  <c r="DT783" i="93"/>
  <c r="DN783" i="93"/>
  <c r="DJ783" i="93"/>
  <c r="DI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O780" i="93"/>
  <c r="JN780" i="93"/>
  <c r="JM780" i="93"/>
  <c r="JK780" i="93"/>
  <c r="JJ780" i="93"/>
  <c r="JI780" i="93"/>
  <c r="JG780" i="93"/>
  <c r="JF780" i="93"/>
  <c r="JE780" i="93"/>
  <c r="JC780" i="93"/>
  <c r="IM780" i="93"/>
  <c r="IC780" i="93"/>
  <c r="IA780" i="93"/>
  <c r="HZ780" i="93"/>
  <c r="HY780" i="93"/>
  <c r="HW780" i="93"/>
  <c r="HV780" i="93"/>
  <c r="HU780" i="93"/>
  <c r="HS780" i="93"/>
  <c r="HR780" i="93"/>
  <c r="HQ780" i="93"/>
  <c r="HO780" i="93"/>
  <c r="HN780" i="93"/>
  <c r="HM780" i="93"/>
  <c r="HK780" i="93"/>
  <c r="HJ780" i="93"/>
  <c r="HI780" i="93"/>
  <c r="HG780" i="93"/>
  <c r="HF780" i="93"/>
  <c r="HE780" i="93"/>
  <c r="HC780" i="93"/>
  <c r="HB780" i="93"/>
  <c r="HA780" i="93"/>
  <c r="GY780" i="93"/>
  <c r="GX780" i="93"/>
  <c r="GW780" i="93"/>
  <c r="GU780" i="93"/>
  <c r="GT780" i="93"/>
  <c r="GS780" i="93"/>
  <c r="GQ780" i="93"/>
  <c r="GP780" i="93"/>
  <c r="GO780" i="93"/>
  <c r="GM780" i="93"/>
  <c r="GL780" i="93"/>
  <c r="GK780" i="93"/>
  <c r="GI780" i="93"/>
  <c r="GH780" i="93"/>
  <c r="GG780" i="93"/>
  <c r="GE780" i="93"/>
  <c r="GD780" i="93"/>
  <c r="GC780" i="93"/>
  <c r="GA780" i="93"/>
  <c r="FZ780" i="93"/>
  <c r="FY780" i="93"/>
  <c r="FW780" i="93"/>
  <c r="FV780" i="93"/>
  <c r="FU780" i="93"/>
  <c r="FS780" i="93"/>
  <c r="FR780" i="93"/>
  <c r="FQ780" i="93"/>
  <c r="FO780" i="93"/>
  <c r="FN780" i="93"/>
  <c r="FM780" i="93"/>
  <c r="FK780" i="93"/>
  <c r="FJ780" i="93"/>
  <c r="FI780" i="93"/>
  <c r="FG780" i="93"/>
  <c r="FF780" i="93"/>
  <c r="FE780" i="93"/>
  <c r="FC780" i="93"/>
  <c r="FB780" i="93"/>
  <c r="FA780" i="93"/>
  <c r="EY780" i="93"/>
  <c r="EX780" i="93"/>
  <c r="EW780" i="93"/>
  <c r="DQ780" i="93"/>
  <c r="DC780" i="93"/>
  <c r="DB780" i="93"/>
  <c r="CZ780" i="93"/>
  <c r="CY780" i="93"/>
  <c r="CX780" i="93"/>
  <c r="CV780" i="93"/>
  <c r="CU780" i="93"/>
  <c r="CT780" i="93"/>
  <c r="BY780" i="93"/>
  <c r="BX780" i="93"/>
  <c r="BW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CY775" i="93"/>
  <c r="JN774" i="93"/>
  <c r="IB774" i="93"/>
  <c r="HR774" i="93"/>
  <c r="HL774" i="93"/>
  <c r="HG774" i="93"/>
  <c r="GV774" i="93"/>
  <c r="GQ774" i="93"/>
  <c r="GL774" i="93"/>
  <c r="GA774" i="93"/>
  <c r="FV774" i="93"/>
  <c r="FP774" i="93"/>
  <c r="FF774" i="93"/>
  <c r="EZ774" i="93"/>
  <c r="JN773" i="93"/>
  <c r="IY773" i="93"/>
  <c r="IM773" i="93"/>
  <c r="II773" i="93"/>
  <c r="IE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Q773" i="93"/>
  <c r="EA773" i="93"/>
  <c r="DK773" i="93"/>
  <c r="DC773" i="93"/>
  <c r="CY773" i="93"/>
  <c r="CU773" i="93"/>
  <c r="CQ773" i="93"/>
  <c r="CM773" i="93"/>
  <c r="CI773" i="93"/>
  <c r="CE773" i="93"/>
  <c r="BW773" i="93"/>
  <c r="BS773" i="93"/>
  <c r="BO773" i="93"/>
  <c r="BK773" i="93"/>
  <c r="BG773" i="93"/>
  <c r="BC773" i="93"/>
  <c r="AY773" i="93"/>
  <c r="AU773" i="93"/>
  <c r="AQ773" i="93"/>
  <c r="AM773" i="93"/>
  <c r="AI773" i="93"/>
  <c r="AE773" i="93"/>
  <c r="AA773" i="93"/>
  <c r="W773" i="93"/>
  <c r="JO772" i="93"/>
  <c r="JK772" i="93"/>
  <c r="JJ772" i="93"/>
  <c r="JG772" i="93"/>
  <c r="IZ772" i="93"/>
  <c r="IJ772" i="93"/>
  <c r="HX772" i="93"/>
  <c r="HW772" i="93"/>
  <c r="HP772" i="93"/>
  <c r="HO772" i="93"/>
  <c r="HH772" i="93"/>
  <c r="HG772" i="93"/>
  <c r="GZ772" i="93"/>
  <c r="GY772" i="93"/>
  <c r="GR772" i="93"/>
  <c r="GQ772" i="93"/>
  <c r="GJ772" i="93"/>
  <c r="GI772" i="93"/>
  <c r="GB772" i="93"/>
  <c r="GA772" i="93"/>
  <c r="FT772" i="93"/>
  <c r="FS772" i="93"/>
  <c r="FL772" i="93"/>
  <c r="FK772" i="93"/>
  <c r="FD772" i="93"/>
  <c r="FC772" i="93"/>
  <c r="EZ772" i="93"/>
  <c r="EY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B771" i="93"/>
  <c r="JA771" i="93"/>
  <c r="IX771" i="93"/>
  <c r="IW771" i="93"/>
  <c r="IT771" i="93"/>
  <c r="IS771" i="93"/>
  <c r="IP771" i="93"/>
  <c r="IO771" i="93"/>
  <c r="IL771" i="93"/>
  <c r="IK771" i="93"/>
  <c r="IH771" i="93"/>
  <c r="IG771" i="93"/>
  <c r="ID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JM770" i="93"/>
  <c r="IA770" i="93"/>
  <c r="HQ770" i="93"/>
  <c r="HK770" i="93"/>
  <c r="HF770" i="93"/>
  <c r="GU770" i="93"/>
  <c r="GP770" i="93"/>
  <c r="GK770" i="93"/>
  <c r="FZ770" i="93"/>
  <c r="FU770" i="93"/>
  <c r="FO770" i="93"/>
  <c r="FE770" i="93"/>
  <c r="EY770" i="93"/>
  <c r="CI770" i="93"/>
  <c r="AM770" i="93"/>
  <c r="JQ769" i="93"/>
  <c r="IL769" i="93"/>
  <c r="GR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IF767" i="93"/>
  <c r="HT767" i="93"/>
  <c r="GY767" i="93"/>
  <c r="GD767" i="93"/>
  <c r="FH767" i="93"/>
  <c r="DA767" i="93"/>
  <c r="CV767" i="93"/>
  <c r="CN767" i="93"/>
  <c r="CF767" i="93"/>
  <c r="BX767" i="93"/>
  <c r="BT767" i="93"/>
  <c r="BD767" i="93"/>
  <c r="U760" i="93"/>
  <c r="A758" i="93"/>
  <c r="U758" i="93" s="1"/>
  <c r="CA773" i="93" l="1"/>
  <c r="BX790" i="93"/>
  <c r="L885" i="93"/>
  <c r="IU787" i="93"/>
  <c r="JK795" i="93"/>
  <c r="JI803" i="93"/>
  <c r="I889" i="93"/>
  <c r="M903" i="93"/>
  <c r="H912" i="93"/>
  <c r="HB775" i="93"/>
  <c r="CK787" i="93"/>
  <c r="CD803" i="93"/>
  <c r="O907" i="93"/>
  <c r="JP780" i="93"/>
  <c r="JL780" i="93"/>
  <c r="JH780" i="93"/>
  <c r="JD780" i="93"/>
  <c r="IB780" i="93"/>
  <c r="HX780" i="93"/>
  <c r="HT780" i="93"/>
  <c r="HP780" i="93"/>
  <c r="HL780" i="93"/>
  <c r="HH780" i="93"/>
  <c r="HD780" i="93"/>
  <c r="GZ780" i="93"/>
  <c r="GV780" i="93"/>
  <c r="GR780" i="93"/>
  <c r="GN780" i="93"/>
  <c r="GJ780" i="93"/>
  <c r="GF780" i="93"/>
  <c r="GB780" i="93"/>
  <c r="FX780" i="93"/>
  <c r="FT780" i="93"/>
  <c r="FP780" i="93"/>
  <c r="FL780" i="93"/>
  <c r="FH780" i="93"/>
  <c r="FD780" i="93"/>
  <c r="EZ780" i="93"/>
  <c r="EL780" i="93"/>
  <c r="DA780" i="93"/>
  <c r="CW780" i="93"/>
  <c r="CC780" i="93"/>
  <c r="BV780" i="93"/>
  <c r="JN784" i="93"/>
  <c r="JJ784" i="93"/>
  <c r="JF784" i="93"/>
  <c r="IZ784" i="93"/>
  <c r="IA784" i="93"/>
  <c r="HW784" i="93"/>
  <c r="HS784" i="93"/>
  <c r="HO784" i="93"/>
  <c r="HK784" i="93"/>
  <c r="HG784" i="93"/>
  <c r="HC784" i="93"/>
  <c r="GY784" i="93"/>
  <c r="GU784" i="93"/>
  <c r="GQ784" i="93"/>
  <c r="GM784" i="93"/>
  <c r="GI784" i="93"/>
  <c r="GE784" i="93"/>
  <c r="GA784" i="93"/>
  <c r="FW784" i="93"/>
  <c r="FS784" i="93"/>
  <c r="FO784" i="93"/>
  <c r="FK784" i="93"/>
  <c r="FG784" i="93"/>
  <c r="FC784" i="93"/>
  <c r="EY784" i="93"/>
  <c r="DM784" i="93"/>
  <c r="CZ784" i="93"/>
  <c r="CV784" i="93"/>
  <c r="BY784" i="93"/>
  <c r="BU784" i="93"/>
  <c r="JQ788" i="93"/>
  <c r="JM788" i="93"/>
  <c r="JI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DB788" i="93"/>
  <c r="CX788" i="93"/>
  <c r="CO788" i="93"/>
  <c r="BV788" i="93"/>
  <c r="Y788" i="93"/>
  <c r="JP788" i="93"/>
  <c r="JL788" i="93"/>
  <c r="JH788" i="93"/>
  <c r="JD788" i="93"/>
  <c r="IB788" i="93"/>
  <c r="HX788" i="93"/>
  <c r="HT788" i="93"/>
  <c r="HP788" i="93"/>
  <c r="HL788" i="93"/>
  <c r="HH788" i="93"/>
  <c r="HD788" i="93"/>
  <c r="GZ788" i="93"/>
  <c r="GV788" i="93"/>
  <c r="GR788" i="93"/>
  <c r="GN788" i="93"/>
  <c r="GJ788" i="93"/>
  <c r="GF788" i="93"/>
  <c r="GB788" i="93"/>
  <c r="FX788" i="93"/>
  <c r="FT788" i="93"/>
  <c r="FP788" i="93"/>
  <c r="JP792" i="93"/>
  <c r="JL792" i="93"/>
  <c r="JH792" i="93"/>
  <c r="JD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EE792" i="93"/>
  <c r="CZ792" i="93"/>
  <c r="CV792" i="93"/>
  <c r="BX792" i="93"/>
  <c r="AB792" i="93"/>
  <c r="JM792" i="93"/>
  <c r="JG792" i="93"/>
  <c r="ID792" i="93"/>
  <c r="HY792" i="93"/>
  <c r="HS792" i="93"/>
  <c r="HN792" i="93"/>
  <c r="HI792" i="93"/>
  <c r="HC792" i="93"/>
  <c r="GX792" i="93"/>
  <c r="GS792" i="93"/>
  <c r="GM792" i="93"/>
  <c r="GH792" i="93"/>
  <c r="GC792" i="93"/>
  <c r="FW792" i="93"/>
  <c r="FR792" i="93"/>
  <c r="FM792" i="93"/>
  <c r="FG792" i="93"/>
  <c r="FB792" i="93"/>
  <c r="EW792" i="93"/>
  <c r="CY792" i="93"/>
  <c r="CA792" i="93"/>
  <c r="BU792" i="93"/>
  <c r="JQ792" i="93"/>
  <c r="JK792" i="93"/>
  <c r="JF792" i="93"/>
  <c r="IC792" i="93"/>
  <c r="HW792" i="93"/>
  <c r="HR792" i="93"/>
  <c r="HM792" i="93"/>
  <c r="HG792" i="93"/>
  <c r="HB792" i="93"/>
  <c r="GW792" i="93"/>
  <c r="GQ792" i="93"/>
  <c r="GL792" i="93"/>
  <c r="GG792" i="93"/>
  <c r="GA792" i="93"/>
  <c r="FV792" i="93"/>
  <c r="FQ792" i="93"/>
  <c r="FK792" i="93"/>
  <c r="FF792" i="93"/>
  <c r="FA792" i="93"/>
  <c r="DC792" i="93"/>
  <c r="CX792" i="93"/>
  <c r="BY792"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CZ796" i="93"/>
  <c r="CV796" i="93"/>
  <c r="BW796" i="93"/>
  <c r="JN796" i="93"/>
  <c r="JI796" i="93"/>
  <c r="JD796" i="93"/>
  <c r="HZ796" i="93"/>
  <c r="HU796" i="93"/>
  <c r="HP796" i="93"/>
  <c r="HJ796" i="93"/>
  <c r="HE796" i="93"/>
  <c r="GZ796" i="93"/>
  <c r="GT796" i="93"/>
  <c r="GO796" i="93"/>
  <c r="GJ796" i="93"/>
  <c r="GD796" i="93"/>
  <c r="FY796" i="93"/>
  <c r="FT796" i="93"/>
  <c r="FN796" i="93"/>
  <c r="FI796" i="93"/>
  <c r="FD796" i="93"/>
  <c r="EX796" i="93"/>
  <c r="DB796" i="93"/>
  <c r="CW796" i="93"/>
  <c r="BV796" i="93"/>
  <c r="JM796" i="93"/>
  <c r="JH796" i="93"/>
  <c r="IU796" i="93"/>
  <c r="HY796" i="93"/>
  <c r="HT796" i="93"/>
  <c r="HN796" i="93"/>
  <c r="HI796" i="93"/>
  <c r="HD796" i="93"/>
  <c r="GX796" i="93"/>
  <c r="GS796" i="93"/>
  <c r="GN796" i="93"/>
  <c r="GH796" i="93"/>
  <c r="GC796" i="93"/>
  <c r="FX796" i="93"/>
  <c r="FR796" i="93"/>
  <c r="FM796" i="93"/>
  <c r="FH796" i="93"/>
  <c r="FB796" i="93"/>
  <c r="EW796" i="93"/>
  <c r="DA796" i="93"/>
  <c r="CT796" i="93"/>
  <c r="BU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J800" i="93"/>
  <c r="IA800" i="93"/>
  <c r="HS800" i="93"/>
  <c r="HK800" i="93"/>
  <c r="HC800" i="93"/>
  <c r="GU800" i="93"/>
  <c r="GM800" i="93"/>
  <c r="GE800" i="93"/>
  <c r="FW800" i="93"/>
  <c r="FO800" i="93"/>
  <c r="FG800" i="93"/>
  <c r="EY800" i="93"/>
  <c r="CY800" i="93"/>
  <c r="BV800" i="93"/>
  <c r="JO800" i="93"/>
  <c r="IC800" i="93"/>
  <c r="HP800" i="93"/>
  <c r="HG800" i="93"/>
  <c r="GV800" i="93"/>
  <c r="GJ800" i="93"/>
  <c r="GA800" i="93"/>
  <c r="FP800" i="93"/>
  <c r="FD800" i="93"/>
  <c r="DC800" i="93"/>
  <c r="BW800" i="93"/>
  <c r="JK800" i="93"/>
  <c r="HX800" i="93"/>
  <c r="HO800" i="93"/>
  <c r="HD800" i="93"/>
  <c r="GR800" i="93"/>
  <c r="GI800" i="93"/>
  <c r="FX800" i="93"/>
  <c r="FL800" i="93"/>
  <c r="FC800" i="93"/>
  <c r="CZ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JQ804" i="93"/>
  <c r="IB804" i="93"/>
  <c r="HL804" i="93"/>
  <c r="GV804" i="93"/>
  <c r="GF804" i="93"/>
  <c r="FP804" i="93"/>
  <c r="EZ804" i="93"/>
  <c r="CX804" i="93"/>
  <c r="BU804" i="93"/>
  <c r="JJ804" i="93"/>
  <c r="HT804" i="93"/>
  <c r="GW804" i="93"/>
  <c r="FY804" i="93"/>
  <c r="FH804" i="93"/>
  <c r="CY804" i="93"/>
  <c r="JI804" i="93"/>
  <c r="HM804" i="93"/>
  <c r="GO804" i="93"/>
  <c r="FX804" i="93"/>
  <c r="FA804" i="93"/>
  <c r="CT804" i="93"/>
  <c r="AV796" i="93"/>
  <c r="CY796" i="93"/>
  <c r="FA796" i="93"/>
  <c r="FL796" i="93"/>
  <c r="FV796" i="93"/>
  <c r="GG796" i="93"/>
  <c r="GR796" i="93"/>
  <c r="HB796" i="93"/>
  <c r="HM796" i="93"/>
  <c r="HX796" i="93"/>
  <c r="JF796" i="93"/>
  <c r="JQ796" i="93"/>
  <c r="CU800" i="93"/>
  <c r="FK800" i="93"/>
  <c r="GF800" i="93"/>
  <c r="GZ800" i="93"/>
  <c r="HW800" i="93"/>
  <c r="DB804" i="93"/>
  <c r="GG804" i="93"/>
  <c r="HU804" i="93"/>
  <c r="BX796" i="93"/>
  <c r="DC796" i="93"/>
  <c r="FE796" i="93"/>
  <c r="FP796" i="93"/>
  <c r="FZ796" i="93"/>
  <c r="GK796" i="93"/>
  <c r="GV796" i="93"/>
  <c r="HF796" i="93"/>
  <c r="HQ796" i="93"/>
  <c r="IB796" i="93"/>
  <c r="JJ796" i="93"/>
  <c r="DZ800" i="93"/>
  <c r="FS800" i="93"/>
  <c r="GN800" i="93"/>
  <c r="HH800" i="93"/>
  <c r="JE800" i="93"/>
  <c r="DC804" i="93"/>
  <c r="GN804" i="93"/>
  <c r="IC804" i="93"/>
  <c r="IH797" i="93"/>
  <c r="IF797" i="93"/>
  <c r="JD789" i="93"/>
  <c r="IU789" i="93"/>
  <c r="IM789" i="93"/>
  <c r="II789" i="93"/>
  <c r="IA789" i="93"/>
  <c r="HW789" i="93"/>
  <c r="HS789"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IX797" i="93"/>
  <c r="HZ797" i="93"/>
  <c r="HT797" i="93"/>
  <c r="HO797" i="93"/>
  <c r="HJ797" i="93"/>
  <c r="HD797" i="93"/>
  <c r="GY797" i="93"/>
  <c r="GT797" i="93"/>
  <c r="GN797" i="93"/>
  <c r="GI797" i="93"/>
  <c r="GD797" i="93"/>
  <c r="FX797" i="93"/>
  <c r="FS797" i="93"/>
  <c r="FN797" i="93"/>
  <c r="FH797" i="93"/>
  <c r="FC797" i="93"/>
  <c r="IV797" i="93"/>
  <c r="HX797" i="93"/>
  <c r="HS797" i="93"/>
  <c r="HN797" i="93"/>
  <c r="HH797" i="93"/>
  <c r="HC797" i="93"/>
  <c r="GX797" i="93"/>
  <c r="GR797" i="93"/>
  <c r="GM797" i="93"/>
  <c r="GH797" i="93"/>
  <c r="GB797" i="93"/>
  <c r="FW797" i="93"/>
  <c r="FR797" i="93"/>
  <c r="FL797" i="93"/>
  <c r="FG797" i="93"/>
  <c r="FB797" i="93"/>
  <c r="ET797" i="93"/>
  <c r="JH797" i="93"/>
  <c r="IA797" i="93"/>
  <c r="HP797" i="93"/>
  <c r="HF797" i="93"/>
  <c r="GU797" i="93"/>
  <c r="GJ797" i="93"/>
  <c r="FZ797" i="93"/>
  <c r="FO797" i="93"/>
  <c r="FD797" i="93"/>
  <c r="EP797" i="93"/>
  <c r="DT797" i="93"/>
  <c r="CY797" i="93"/>
  <c r="CN797" i="93"/>
  <c r="CD797" i="93"/>
  <c r="BS797" i="93"/>
  <c r="BH797" i="93"/>
  <c r="AX797" i="93"/>
  <c r="AO797" i="93"/>
  <c r="AG797" i="93"/>
  <c r="Y797" i="93"/>
  <c r="HP801" i="93"/>
  <c r="GU801" i="93"/>
  <c r="GE801" i="93"/>
  <c r="FK801" i="93"/>
  <c r="EC801" i="93"/>
  <c r="CP801" i="93"/>
  <c r="BS801" i="93"/>
  <c r="AX801" i="93"/>
  <c r="AD801" i="93"/>
  <c r="JL801" i="93"/>
  <c r="HK801" i="93"/>
  <c r="GQ801" i="93"/>
  <c r="FY801" i="93"/>
  <c r="FD801" i="93"/>
  <c r="DX801" i="93"/>
  <c r="CL801" i="93"/>
  <c r="BR801" i="93"/>
  <c r="AU801" i="93"/>
  <c r="Z801" i="93"/>
  <c r="HX801" i="93"/>
  <c r="GF801" i="93"/>
  <c r="EY801" i="93"/>
  <c r="CA801" i="93"/>
  <c r="AL801" i="93"/>
  <c r="DC791" i="93"/>
  <c r="BV791" i="93"/>
  <c r="DC795" i="93"/>
  <c r="BV795" i="93"/>
  <c r="BX799" i="93"/>
  <c r="BT799" i="93"/>
  <c r="W785" i="93"/>
  <c r="AA785" i="93"/>
  <c r="AE785" i="93"/>
  <c r="AI785" i="93"/>
  <c r="AM785" i="93"/>
  <c r="AQ785" i="93"/>
  <c r="AU785" i="93"/>
  <c r="AY785" i="93"/>
  <c r="BC785" i="93"/>
  <c r="BG785" i="93"/>
  <c r="BK785" i="93"/>
  <c r="BO785" i="93"/>
  <c r="BS785" i="93"/>
  <c r="BW785" i="93"/>
  <c r="CA785" i="93"/>
  <c r="CE785" i="93"/>
  <c r="CI785" i="93"/>
  <c r="CM785" i="93"/>
  <c r="CQ785" i="93"/>
  <c r="CU785" i="93"/>
  <c r="CY785" i="93"/>
  <c r="DC785" i="93"/>
  <c r="DI785" i="93"/>
  <c r="DQ785" i="93"/>
  <c r="DY785" i="93"/>
  <c r="EG785" i="93"/>
  <c r="EO785" i="93"/>
  <c r="EW785" i="93"/>
  <c r="FA785" i="93"/>
  <c r="FE785" i="93"/>
  <c r="FI785" i="93"/>
  <c r="FM785" i="93"/>
  <c r="FQ785" i="93"/>
  <c r="FU785" i="93"/>
  <c r="FY785" i="93"/>
  <c r="GC785" i="93"/>
  <c r="GG785" i="93"/>
  <c r="GK785" i="93"/>
  <c r="GO785" i="93"/>
  <c r="GS785" i="93"/>
  <c r="GW785" i="93"/>
  <c r="HA785" i="93"/>
  <c r="HE785" i="93"/>
  <c r="HI785" i="93"/>
  <c r="HM785" i="93"/>
  <c r="HQ785" i="93"/>
  <c r="HU785" i="93"/>
  <c r="HY785" i="93"/>
  <c r="IC785" i="93"/>
  <c r="IK785" i="93"/>
  <c r="IO785" i="93"/>
  <c r="IW785" i="93"/>
  <c r="AP787" i="93"/>
  <c r="DO787" i="93"/>
  <c r="Z789" i="93"/>
  <c r="AD789" i="93"/>
  <c r="AH789" i="93"/>
  <c r="AL789" i="93"/>
  <c r="AP789" i="93"/>
  <c r="AT789" i="93"/>
  <c r="AX789" i="93"/>
  <c r="BB789" i="93"/>
  <c r="BF789" i="93"/>
  <c r="BJ789" i="93"/>
  <c r="BN789" i="93"/>
  <c r="BR789" i="93"/>
  <c r="BV789" i="93"/>
  <c r="BZ789" i="93"/>
  <c r="CD789" i="93"/>
  <c r="CH789" i="93"/>
  <c r="CL789" i="93"/>
  <c r="CP789" i="93"/>
  <c r="CT789" i="93"/>
  <c r="CX789" i="93"/>
  <c r="DB789" i="93"/>
  <c r="DJ789" i="93"/>
  <c r="DR789" i="93"/>
  <c r="DZ789" i="93"/>
  <c r="EH789" i="93"/>
  <c r="EP789" i="93"/>
  <c r="EW789" i="93"/>
  <c r="FA789" i="93"/>
  <c r="FE789" i="93"/>
  <c r="FI789" i="93"/>
  <c r="FM789" i="93"/>
  <c r="FQ789" i="93"/>
  <c r="FU789" i="93"/>
  <c r="FY789" i="93"/>
  <c r="GC789" i="93"/>
  <c r="GG789" i="93"/>
  <c r="GK789" i="93"/>
  <c r="GO789" i="93"/>
  <c r="GS789" i="93"/>
  <c r="GW789" i="93"/>
  <c r="HA789" i="93"/>
  <c r="HE789" i="93"/>
  <c r="HI789" i="93"/>
  <c r="HM789" i="93"/>
  <c r="HQ789" i="93"/>
  <c r="HV789" i="93"/>
  <c r="IB789" i="93"/>
  <c r="IG789" i="93"/>
  <c r="IL789" i="93"/>
  <c r="IX789" i="93"/>
  <c r="AI791" i="93"/>
  <c r="CY791" i="93"/>
  <c r="W793" i="93"/>
  <c r="AB793" i="93"/>
  <c r="AH793" i="93"/>
  <c r="AO793" i="93"/>
  <c r="AV793" i="93"/>
  <c r="BD793" i="93"/>
  <c r="BJ793" i="93"/>
  <c r="BQ793" i="93"/>
  <c r="BY793" i="93"/>
  <c r="CF793" i="93"/>
  <c r="CL793" i="93"/>
  <c r="CT793" i="93"/>
  <c r="DA793" i="93"/>
  <c r="DL793" i="93"/>
  <c r="EB793" i="93"/>
  <c r="EP793" i="93"/>
  <c r="EY793" i="93"/>
  <c r="FE793" i="93"/>
  <c r="FJ793" i="93"/>
  <c r="FO793" i="93"/>
  <c r="FU793" i="93"/>
  <c r="FZ793" i="93"/>
  <c r="GE793" i="93"/>
  <c r="GK793" i="93"/>
  <c r="GP793" i="93"/>
  <c r="GU793" i="93"/>
  <c r="HA793" i="93"/>
  <c r="HF793" i="93"/>
  <c r="HK793" i="93"/>
  <c r="HQ793" i="93"/>
  <c r="HV793" i="93"/>
  <c r="IA793" i="93"/>
  <c r="IH793" i="93"/>
  <c r="IR793" i="93"/>
  <c r="JC793" i="93"/>
  <c r="CB795" i="93"/>
  <c r="EE795" i="93"/>
  <c r="IU795" i="93"/>
  <c r="AB797" i="93"/>
  <c r="AK797" i="93"/>
  <c r="AV797" i="93"/>
  <c r="BL797" i="93"/>
  <c r="BX797" i="93"/>
  <c r="CM797" i="93"/>
  <c r="DC797" i="93"/>
  <c r="EE797" i="93"/>
  <c r="EZ797" i="93"/>
  <c r="FP797" i="93"/>
  <c r="GE797" i="93"/>
  <c r="GQ797" i="93"/>
  <c r="HG797" i="93"/>
  <c r="HV797" i="93"/>
  <c r="IM797" i="93"/>
  <c r="BJ801" i="93"/>
  <c r="EZ801" i="93"/>
  <c r="HA801" i="93"/>
  <c r="ED803" i="93"/>
  <c r="IV803" i="93"/>
  <c r="K932" i="93"/>
  <c r="IH799" i="93"/>
  <c r="IE795" i="93"/>
  <c r="IF791" i="93"/>
  <c r="IG783" i="93"/>
  <c r="IZ771" i="93"/>
  <c r="I907" i="93"/>
  <c r="M907" i="93"/>
  <c r="ES770" i="93"/>
  <c r="JN772" i="93"/>
  <c r="H889" i="93"/>
  <c r="L889" i="93"/>
  <c r="P889" i="93"/>
  <c r="H903" i="93"/>
  <c r="L903" i="93"/>
  <c r="P903" i="93"/>
  <c r="H907" i="93"/>
  <c r="L907" i="93"/>
  <c r="P907" i="93"/>
  <c r="JP767" i="93"/>
  <c r="GL775" i="93"/>
  <c r="DH769" i="93"/>
  <c r="IU773" i="93"/>
  <c r="FV771" i="93"/>
  <c r="N1477" i="93"/>
  <c r="FG772" i="93"/>
  <c r="FO772" i="93"/>
  <c r="FW772" i="93"/>
  <c r="GE772" i="93"/>
  <c r="GM772" i="93"/>
  <c r="GU772" i="93"/>
  <c r="HC772" i="93"/>
  <c r="HK772" i="93"/>
  <c r="HS772" i="93"/>
  <c r="IA772" i="93"/>
  <c r="JC772" i="93"/>
  <c r="JQ772" i="93"/>
  <c r="FH772" i="93"/>
  <c r="FP772" i="93"/>
  <c r="FX772" i="93"/>
  <c r="GF772" i="93"/>
  <c r="GN772" i="93"/>
  <c r="GV772" i="93"/>
  <c r="HD772" i="93"/>
  <c r="HL772" i="93"/>
  <c r="HT772" i="93"/>
  <c r="IB772" i="93"/>
  <c r="JF772" i="93"/>
  <c r="JN771" i="93"/>
  <c r="GL771" i="93"/>
  <c r="HB771" i="93"/>
  <c r="FF771" i="93"/>
  <c r="HR771" i="93"/>
  <c r="DO773" i="93"/>
  <c r="EE773" i="93"/>
  <c r="EU773" i="93"/>
  <c r="JF773" i="93"/>
  <c r="JB773" i="93"/>
  <c r="DS773" i="93"/>
  <c r="EI773" i="93"/>
  <c r="IQ773" i="93"/>
  <c r="JJ773" i="93"/>
  <c r="DG773" i="93"/>
  <c r="DW773" i="93"/>
  <c r="EM773" i="93"/>
  <c r="DX769" i="93"/>
  <c r="EN769" i="93"/>
  <c r="FF775" i="93"/>
  <c r="HR775" i="93"/>
  <c r="JN775" i="93"/>
  <c r="FV775" i="93"/>
  <c r="JG775"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JP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E772" i="93"/>
  <c r="JI772" i="93"/>
  <c r="JM772" i="93"/>
  <c r="JQ771" i="93"/>
  <c r="FJ771" i="93"/>
  <c r="FZ771" i="93"/>
  <c r="GP771" i="93"/>
  <c r="HF771" i="93"/>
  <c r="HV771" i="93"/>
  <c r="EX771" i="93"/>
  <c r="FN771" i="93"/>
  <c r="GD771" i="93"/>
  <c r="GT771" i="93"/>
  <c r="HJ771" i="93"/>
  <c r="HZ771" i="93"/>
  <c r="A771" i="93"/>
  <c r="FB771" i="93"/>
  <c r="FR771" i="93"/>
  <c r="GH771" i="93"/>
  <c r="GX771" i="93"/>
  <c r="H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F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J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FN767" i="93"/>
  <c r="GI767" i="93"/>
  <c r="HD767" i="93"/>
  <c r="HZ767" i="93"/>
  <c r="EX767" i="93"/>
  <c r="FS767" i="93"/>
  <c r="GN767" i="93"/>
  <c r="HJ767" i="93"/>
  <c r="FC767" i="93"/>
  <c r="FX767" i="93"/>
  <c r="GT767" i="93"/>
  <c r="HO767" i="93"/>
  <c r="JE767" i="93"/>
  <c r="EY767" i="93"/>
  <c r="FD767" i="93"/>
  <c r="FJ767" i="93"/>
  <c r="FO767" i="93"/>
  <c r="FT767" i="93"/>
  <c r="FZ767" i="93"/>
  <c r="GE767" i="93"/>
  <c r="GJ767" i="93"/>
  <c r="GP767" i="93"/>
  <c r="GU767" i="93"/>
  <c r="GZ767" i="93"/>
  <c r="HF767" i="93"/>
  <c r="HK767" i="93"/>
  <c r="HP767" i="93"/>
  <c r="HV767" i="93"/>
  <c r="IA767" i="93"/>
  <c r="JM767" i="93"/>
  <c r="EZ767" i="93"/>
  <c r="FF767" i="93"/>
  <c r="FK767" i="93"/>
  <c r="FP767" i="93"/>
  <c r="FV767" i="93"/>
  <c r="GA767" i="93"/>
  <c r="GF767" i="93"/>
  <c r="GL767" i="93"/>
  <c r="GQ767" i="93"/>
  <c r="GV767" i="93"/>
  <c r="HB767" i="93"/>
  <c r="HG767" i="93"/>
  <c r="HL767" i="93"/>
  <c r="HR767" i="93"/>
  <c r="HW767" i="93"/>
  <c r="IB767" i="93"/>
  <c r="JN767" i="93"/>
  <c r="FB767" i="93"/>
  <c r="FG767" i="93"/>
  <c r="FL767" i="93"/>
  <c r="FR767" i="93"/>
  <c r="FW767" i="93"/>
  <c r="GB767" i="93"/>
  <c r="GH767" i="93"/>
  <c r="GM767" i="93"/>
  <c r="GR767" i="93"/>
  <c r="GX767" i="93"/>
  <c r="HC767" i="93"/>
  <c r="HH767" i="93"/>
  <c r="HN767" i="93"/>
  <c r="HS767" i="93"/>
  <c r="HX767"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IF773" i="93"/>
  <c r="IJ773" i="93"/>
  <c r="IN773" i="93"/>
  <c r="IR773" i="93"/>
  <c r="IV773" i="93"/>
  <c r="IZ773" i="93"/>
  <c r="Y773" i="93"/>
  <c r="AC773" i="93"/>
  <c r="AG773" i="93"/>
  <c r="AK773" i="93"/>
  <c r="AO773" i="93"/>
  <c r="AS773" i="93"/>
  <c r="AW773" i="93"/>
  <c r="BA773" i="93"/>
  <c r="BE773" i="93"/>
  <c r="BI773" i="93"/>
  <c r="BM773" i="93"/>
  <c r="BQ773" i="93"/>
  <c r="BU773" i="93"/>
  <c r="BY773" i="93"/>
  <c r="CC773" i="93"/>
  <c r="CG773" i="93"/>
  <c r="CK773" i="93"/>
  <c r="CO773" i="93"/>
  <c r="CS773" i="93"/>
  <c r="CW773" i="93"/>
  <c r="DA773" i="93"/>
  <c r="DE773" i="93"/>
  <c r="DI773" i="93"/>
  <c r="DM773" i="93"/>
  <c r="DQ773" i="93"/>
  <c r="DU773" i="93"/>
  <c r="DY773" i="93"/>
  <c r="EC773" i="93"/>
  <c r="EG773" i="93"/>
  <c r="EK773" i="93"/>
  <c r="EO773" i="93"/>
  <c r="ES773" i="93"/>
  <c r="IG773" i="93"/>
  <c r="IK773" i="93"/>
  <c r="IO773" i="93"/>
  <c r="IS773" i="93"/>
  <c r="IW773" i="93"/>
  <c r="JA773"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ID773" i="93"/>
  <c r="IH773" i="93"/>
  <c r="IL773" i="93"/>
  <c r="IP773" i="93"/>
  <c r="IT773" i="93"/>
  <c r="IX773" i="93"/>
  <c r="JC771" i="93"/>
  <c r="JG771" i="93"/>
  <c r="JK771" i="93"/>
  <c r="JO771" i="93"/>
  <c r="JD771" i="93"/>
  <c r="JH771" i="93"/>
  <c r="JL771" i="93"/>
  <c r="JP771" i="93"/>
  <c r="JE771" i="93"/>
  <c r="JI771" i="93"/>
  <c r="JM771" i="93"/>
  <c r="DC775" i="93"/>
  <c r="FJ775" i="93"/>
  <c r="FZ775" i="93"/>
  <c r="GP775" i="93"/>
  <c r="HF775" i="93"/>
  <c r="HV775" i="93"/>
  <c r="JK775" i="93"/>
  <c r="BV775" i="93"/>
  <c r="EX775" i="93"/>
  <c r="FN775" i="93"/>
  <c r="GD775" i="93"/>
  <c r="GT775" i="93"/>
  <c r="HJ775" i="93"/>
  <c r="HZ775" i="93"/>
  <c r="JO775" i="93"/>
  <c r="CO775" i="93"/>
  <c r="FB775" i="93"/>
  <c r="FR775" i="93"/>
  <c r="GH775" i="93"/>
  <c r="GX775" i="93"/>
  <c r="HN775" i="93"/>
  <c r="JC775" i="93"/>
  <c r="IY775" i="93"/>
  <c r="AO775" i="93"/>
  <c r="BW775" i="93"/>
  <c r="CT775" i="93"/>
  <c r="CZ775" i="93"/>
  <c r="DK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JD775" i="93"/>
  <c r="JH775" i="93"/>
  <c r="JL775" i="93"/>
  <c r="JP775" i="93"/>
  <c r="BJ775" i="93"/>
  <c r="BX775" i="93"/>
  <c r="CW775" i="93"/>
  <c r="DA775" i="93"/>
  <c r="EQ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E775" i="93"/>
  <c r="JI775" i="93"/>
  <c r="JM775" i="93"/>
  <c r="JQ775" i="93"/>
  <c r="BU775" i="93"/>
  <c r="BY775" i="93"/>
  <c r="CX775" i="93"/>
  <c r="DB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JF775" i="93"/>
  <c r="JJ775" i="93"/>
  <c r="CM774" i="93"/>
  <c r="DV775" i="93"/>
  <c r="IH775" i="93"/>
  <c r="AD775" i="93"/>
  <c r="CD775" i="93"/>
  <c r="EG775" i="93"/>
  <c r="IS775" i="93"/>
  <c r="W775" i="93"/>
  <c r="AH775" i="93"/>
  <c r="AX775" i="93"/>
  <c r="BS775" i="93"/>
  <c r="CH775" i="93"/>
  <c r="CS775" i="93"/>
  <c r="DM775" i="93"/>
  <c r="DW775" i="93"/>
  <c r="EH775" i="93"/>
  <c r="ES775" i="93"/>
  <c r="II775" i="93"/>
  <c r="IT775" i="93"/>
  <c r="Y775" i="93"/>
  <c r="AI775" i="93"/>
  <c r="AY775" i="93"/>
  <c r="CI775" i="93"/>
  <c r="DF775" i="93"/>
  <c r="DQ775" i="93"/>
  <c r="EA775" i="93"/>
  <c r="EL775" i="93"/>
  <c r="IM775" i="93"/>
  <c r="IX775" i="93"/>
  <c r="AC775" i="93"/>
  <c r="AM775" i="93"/>
  <c r="BI775" i="93"/>
  <c r="CC775" i="93"/>
  <c r="CM775" i="93"/>
  <c r="DG775" i="93"/>
  <c r="DR775" i="93"/>
  <c r="EC775" i="93"/>
  <c r="EM775" i="93"/>
  <c r="ID775" i="93"/>
  <c r="IO775" i="93"/>
  <c r="AQ774" i="93"/>
  <c r="JI767" i="93"/>
  <c r="GB769" i="93"/>
  <c r="G889" i="93"/>
  <c r="K889" i="93"/>
  <c r="O889" i="93"/>
  <c r="I894" i="93"/>
  <c r="M894" i="93"/>
  <c r="A1097" i="93"/>
  <c r="H1097" i="93" s="1"/>
  <c r="J907" i="93"/>
  <c r="N907" i="93"/>
  <c r="K916" i="93"/>
  <c r="JO767" i="93"/>
  <c r="JB769" i="93"/>
  <c r="HH769" i="93"/>
  <c r="FL769" i="93"/>
  <c r="HX769" i="93"/>
  <c r="HT769" i="93"/>
  <c r="DP769" i="93"/>
  <c r="EF769" i="93"/>
  <c r="EV769" i="93"/>
  <c r="DD769" i="93"/>
  <c r="DT769" i="93"/>
  <c r="EJ769" i="93"/>
  <c r="DL769" i="93"/>
  <c r="EB769" i="93"/>
  <c r="ER769" i="93"/>
  <c r="JJ767" i="93"/>
  <c r="DO767" i="93"/>
  <c r="EU767" i="93"/>
  <c r="DW767" i="93"/>
  <c r="IN767" i="93"/>
  <c r="JF767" i="93"/>
  <c r="JL767" i="93"/>
  <c r="IU767" i="93"/>
  <c r="EE767" i="93"/>
  <c r="IV767" i="93"/>
  <c r="JH767" i="93"/>
  <c r="DG767" i="93"/>
  <c r="EM767" i="93"/>
  <c r="JD767" i="93"/>
  <c r="EZ769" i="93"/>
  <c r="FP769" i="93"/>
  <c r="GF769" i="93"/>
  <c r="GV769" i="93"/>
  <c r="HL769" i="93"/>
  <c r="IB769" i="93"/>
  <c r="FD769" i="93"/>
  <c r="FT769" i="93"/>
  <c r="GJ769" i="93"/>
  <c r="GZ769" i="93"/>
  <c r="HP769" i="93"/>
  <c r="FH769" i="93"/>
  <c r="FX769" i="93"/>
  <c r="GN769" i="93"/>
  <c r="HD769"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C767" i="93"/>
  <c r="JG767" i="93"/>
  <c r="JK767" i="93"/>
  <c r="BE767" i="93"/>
  <c r="BU767" i="93"/>
  <c r="BY767" i="93"/>
  <c r="CG767" i="93"/>
  <c r="CO767" i="93"/>
  <c r="CW767" i="93"/>
  <c r="DB767" i="93"/>
  <c r="DH767" i="93"/>
  <c r="DP767" i="93"/>
  <c r="DX767" i="93"/>
  <c r="EF767" i="93"/>
  <c r="EN767" i="93"/>
  <c r="EV767" i="93"/>
  <c r="II767" i="93"/>
  <c r="IQ767" i="93"/>
  <c r="IY767" i="93"/>
  <c r="JB767" i="93"/>
  <c r="BL767" i="93"/>
  <c r="BV767" i="93"/>
  <c r="CB767" i="93"/>
  <c r="CJ767" i="93"/>
  <c r="CR767" i="93"/>
  <c r="CY767" i="93"/>
  <c r="DC767" i="93"/>
  <c r="DK767" i="93"/>
  <c r="DS767" i="93"/>
  <c r="EA767" i="93"/>
  <c r="EI767" i="93"/>
  <c r="EQ767" i="93"/>
  <c r="IJ767" i="93"/>
  <c r="IR767" i="93"/>
  <c r="IZ767" i="93"/>
  <c r="BM767" i="93"/>
  <c r="BW767" i="93"/>
  <c r="CC767" i="93"/>
  <c r="CK767" i="93"/>
  <c r="CS767" i="93"/>
  <c r="CZ767" i="93"/>
  <c r="DD767" i="93"/>
  <c r="DL767" i="93"/>
  <c r="DT767" i="93"/>
  <c r="EB767" i="93"/>
  <c r="EJ767" i="93"/>
  <c r="ER767" i="93"/>
  <c r="IE767" i="93"/>
  <c r="IM767" i="93"/>
  <c r="JM769" i="93"/>
  <c r="JA76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P769" i="93"/>
  <c r="JE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T769" i="93"/>
  <c r="JI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H769" i="93"/>
  <c r="IX769" i="93"/>
  <c r="IE769" i="93"/>
  <c r="II769" i="93"/>
  <c r="IM769" i="93"/>
  <c r="IQ769" i="93"/>
  <c r="IU769" i="93"/>
  <c r="IY769" i="93"/>
  <c r="IF769" i="93"/>
  <c r="IJ769" i="93"/>
  <c r="IN769" i="93"/>
  <c r="IR769" i="93"/>
  <c r="IV769" i="93"/>
  <c r="IZ769" i="93"/>
  <c r="IG769" i="93"/>
  <c r="IK769" i="93"/>
  <c r="IO769" i="93"/>
  <c r="IS769" i="93"/>
  <c r="IW769"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IH803" i="93"/>
  <c r="IF803" i="93"/>
  <c r="IG787" i="93"/>
  <c r="IE787" i="93"/>
  <c r="X767" i="93"/>
  <c r="AB767" i="93"/>
  <c r="AF767" i="93"/>
  <c r="AJ767" i="93"/>
  <c r="AN767" i="93"/>
  <c r="AR767" i="93"/>
  <c r="AV767" i="93"/>
  <c r="AZ767" i="93"/>
  <c r="AD767" i="93"/>
  <c r="AL767" i="93"/>
  <c r="AT767" i="93"/>
  <c r="BB767" i="93"/>
  <c r="AA767" i="93"/>
  <c r="AI767" i="93"/>
  <c r="AQ767" i="93"/>
  <c r="AY767" i="93"/>
  <c r="Y767" i="93"/>
  <c r="AC767" i="93"/>
  <c r="AG767" i="93"/>
  <c r="AK767" i="93"/>
  <c r="AO767" i="93"/>
  <c r="AS767" i="93"/>
  <c r="AW767" i="93"/>
  <c r="BA767" i="93"/>
  <c r="Z767" i="93"/>
  <c r="AH767" i="93"/>
  <c r="AP767" i="93"/>
  <c r="AX767" i="93"/>
  <c r="W767" i="93"/>
  <c r="AE767" i="93"/>
  <c r="AM767" i="93"/>
  <c r="AU767" i="93"/>
  <c r="JL783" i="93"/>
  <c r="JH783" i="93"/>
  <c r="JC783" i="93"/>
  <c r="IV783" i="93"/>
  <c r="IK783" i="93"/>
  <c r="IB783" i="93"/>
  <c r="HW783" i="93"/>
  <c r="HQ783" i="93"/>
  <c r="HM783" i="93"/>
  <c r="HI783" i="93"/>
  <c r="HE783" i="93"/>
  <c r="HA783" i="93"/>
  <c r="GW783" i="93"/>
  <c r="GS783" i="93"/>
  <c r="GO783"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J795" i="93"/>
  <c r="JF795" i="93"/>
  <c r="IR795" i="93"/>
  <c r="HQ795" i="93"/>
  <c r="HA795" i="93"/>
  <c r="GK795" i="93"/>
  <c r="FU795" i="93"/>
  <c r="FE795" i="93"/>
  <c r="EX795" i="93"/>
  <c r="EN795" i="93"/>
  <c r="DY795" i="93"/>
  <c r="DK795" i="93"/>
  <c r="DB795" i="93"/>
  <c r="CW795" i="93"/>
  <c r="CK795" i="93"/>
  <c r="BY795" i="93"/>
  <c r="BU795" i="93"/>
  <c r="AY795" i="93"/>
  <c r="AC795"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JK799" i="93"/>
  <c r="IY799" i="93"/>
  <c r="HQ799" i="93"/>
  <c r="HA799" i="93"/>
  <c r="GK799" i="93"/>
  <c r="FU799" i="93"/>
  <c r="FE799" i="93"/>
  <c r="EY799" i="93"/>
  <c r="EQ799" i="93"/>
  <c r="DW799" i="93"/>
  <c r="DF799" i="93"/>
  <c r="CZ799" i="93"/>
  <c r="CR799" i="93"/>
  <c r="BY799" i="93"/>
  <c r="BU799" i="93"/>
  <c r="AJ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Q803" i="93"/>
  <c r="JJ803" i="93"/>
  <c r="JD803" i="93"/>
  <c r="HO803" i="93"/>
  <c r="GY803" i="93"/>
  <c r="GI803" i="93"/>
  <c r="FS803" i="93"/>
  <c r="FC803" i="93"/>
  <c r="EX803" i="93"/>
  <c r="EF803" i="93"/>
  <c r="DE803" i="93"/>
  <c r="DA803" i="93"/>
  <c r="CW803" i="93"/>
  <c r="CH803" i="93"/>
  <c r="BW803" i="93"/>
  <c r="BD803" i="93"/>
  <c r="CP799" i="93"/>
  <c r="EI799" i="93"/>
  <c r="GH799" i="93"/>
  <c r="IX799" i="93"/>
  <c r="AH803" i="93"/>
  <c r="CZ803" i="93"/>
  <c r="FA803" i="93"/>
  <c r="HH803" i="93"/>
  <c r="JP803" i="93"/>
  <c r="IF795" i="93"/>
  <c r="AI799" i="93"/>
  <c r="CY799" i="93"/>
  <c r="EX799" i="93"/>
  <c r="GX799" i="93"/>
  <c r="JJ799" i="93"/>
  <c r="BV803" i="93"/>
  <c r="DD803" i="93"/>
  <c r="FL803" i="93"/>
  <c r="HX803" i="93"/>
  <c r="HV770" i="93"/>
  <c r="HW774" i="93"/>
  <c r="HP778" i="93"/>
  <c r="GU782" i="93"/>
  <c r="FP802" i="93"/>
  <c r="G885" i="93"/>
  <c r="EF802" i="93"/>
  <c r="JH770" i="93"/>
  <c r="JI774" i="93"/>
  <c r="CU767" i="93"/>
  <c r="CX771" i="93"/>
  <c r="CU775" i="93"/>
  <c r="CU779" i="93"/>
  <c r="CW783" i="93"/>
  <c r="CV787" i="93"/>
  <c r="CX791" i="93"/>
  <c r="CX795" i="93"/>
  <c r="CX799" i="93"/>
  <c r="CU803" i="93"/>
  <c r="K923" i="93"/>
  <c r="P924" i="93"/>
  <c r="C971" i="93"/>
  <c r="C972" i="93" s="1"/>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AB768" i="93"/>
  <c r="AJ768" i="93"/>
  <c r="AR768" i="93"/>
  <c r="AZ768" i="93"/>
  <c r="Y768" i="93"/>
  <c r="AC768" i="93"/>
  <c r="AS768" i="93"/>
  <c r="AW768" i="93"/>
  <c r="W768" i="93"/>
  <c r="AA768" i="93"/>
  <c r="AE768" i="93"/>
  <c r="AI768" i="93"/>
  <c r="AM768" i="93"/>
  <c r="AQ768" i="93"/>
  <c r="AU768" i="93"/>
  <c r="AY768" i="93"/>
  <c r="X768" i="93"/>
  <c r="AF768" i="93"/>
  <c r="AN768" i="93"/>
  <c r="AV768" i="93"/>
  <c r="AG768" i="93"/>
  <c r="AK768" i="93"/>
  <c r="AO768" i="93"/>
  <c r="BA768" i="93"/>
  <c r="HL801" i="93"/>
  <c r="O839" i="93"/>
  <c r="O838" i="93"/>
  <c r="N885" i="93"/>
  <c r="J885" i="93"/>
  <c r="O885" i="93"/>
  <c r="K885" i="93"/>
  <c r="I898" i="93"/>
  <c r="M898" i="93"/>
  <c r="G903" i="93"/>
  <c r="K903" i="93"/>
  <c r="O903" i="93"/>
  <c r="I916" i="93"/>
  <c r="F925" i="93"/>
  <c r="K942" i="93"/>
  <c r="O1477"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62" i="93" s="1"/>
  <c r="S556" i="93"/>
  <c r="G557" i="93"/>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A565"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26" i="93" l="1"/>
  <c r="A546" i="93"/>
  <c r="S459" i="93"/>
  <c r="J872" i="93"/>
  <c r="F504" i="93"/>
  <c r="M562" i="93"/>
  <c r="M566" i="93"/>
  <c r="S566" i="93"/>
  <c r="U540" i="93"/>
  <c r="J746" i="93"/>
  <c r="I746" i="93"/>
  <c r="S453" i="93"/>
  <c r="S474" i="93"/>
  <c r="S500" i="93"/>
  <c r="G566" i="93"/>
  <c r="J566" i="93"/>
  <c r="P566" i="93"/>
  <c r="N864" i="93"/>
  <c r="P554" i="93"/>
  <c r="S513" i="93"/>
  <c r="P474" i="93"/>
  <c r="G463" i="93"/>
  <c r="P453" i="93"/>
  <c r="U450" i="93"/>
  <c r="L393" i="93"/>
  <c r="A561" i="93"/>
  <c r="M459" i="93"/>
  <c r="M519" i="93"/>
  <c r="P519" i="93"/>
  <c r="D474" i="93"/>
  <c r="M746" i="93"/>
  <c r="K746" i="93"/>
  <c r="M864" i="93"/>
  <c r="N868" i="93"/>
  <c r="L864" i="93"/>
  <c r="M863" i="93"/>
  <c r="K863" i="93"/>
  <c r="K862" i="93"/>
  <c r="N863" i="93"/>
  <c r="N861" i="93"/>
  <c r="J862" i="93"/>
  <c r="L867" i="93"/>
  <c r="J861" i="93"/>
  <c r="M868" i="93"/>
  <c r="J867" i="93"/>
  <c r="K861" i="93"/>
  <c r="O858" i="93"/>
  <c r="J868" i="93"/>
  <c r="M843" i="93"/>
  <c r="O943" i="93"/>
  <c r="M872" i="93"/>
  <c r="M874" i="93" s="1"/>
  <c r="M876" i="93" s="1"/>
  <c r="M815" i="93"/>
  <c r="M817" i="93" s="1"/>
  <c r="M819" i="93" s="1"/>
  <c r="N827" i="93"/>
  <c r="J730" i="93"/>
  <c r="J519" i="93"/>
  <c r="J500" i="93"/>
  <c r="J469" i="93"/>
  <c r="G453" i="93"/>
  <c r="U451" i="93"/>
  <c r="G513" i="93"/>
  <c r="U546" i="93"/>
  <c r="G474" i="93"/>
  <c r="M453" i="93"/>
  <c r="M469" i="93"/>
  <c r="P469" i="93"/>
  <c r="S469" i="93"/>
  <c r="M513" i="93"/>
  <c r="G541" i="93"/>
  <c r="K730" i="93"/>
  <c r="O846" i="93"/>
  <c r="O814" i="93"/>
  <c r="J827" i="93"/>
  <c r="O844" i="93"/>
  <c r="O941" i="93"/>
  <c r="L868" i="93"/>
  <c r="N862" i="93"/>
  <c r="N867" i="93"/>
  <c r="O855" i="93"/>
  <c r="O942" i="93"/>
  <c r="U561" i="93"/>
  <c r="U452" i="93"/>
  <c r="A450" i="93"/>
  <c r="J474" i="93"/>
  <c r="G500" i="93"/>
  <c r="M500" i="93"/>
  <c r="P500" i="93"/>
  <c r="S527" i="93"/>
  <c r="S541" i="93"/>
  <c r="G547" i="93"/>
  <c r="S547" i="93"/>
  <c r="G554" i="93"/>
  <c r="J582" i="93"/>
  <c r="J586" i="93" s="1"/>
  <c r="L730" i="93"/>
  <c r="O847" i="93"/>
  <c r="O816" i="93"/>
  <c r="O833" i="93"/>
  <c r="N815" i="93"/>
  <c r="N817" i="93" s="1"/>
  <c r="N819" i="93" s="1"/>
  <c r="O85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B480" i="93"/>
  <c r="F483" i="93" s="1"/>
  <c r="E473" i="93"/>
  <c r="E992" i="93"/>
  <c r="D992" i="93"/>
  <c r="O864" i="93"/>
  <c r="O867" i="93"/>
  <c r="O868" i="93"/>
  <c r="O863" i="93"/>
  <c r="O862" i="93"/>
  <c r="O823" i="93"/>
  <c r="E472" i="93"/>
  <c r="J568" i="93"/>
  <c r="J585" i="93" s="1"/>
  <c r="J587" i="93" s="1"/>
  <c r="J589" i="93" s="1"/>
  <c r="E471" i="93"/>
  <c r="O841" i="93"/>
  <c r="P944" i="93" s="1"/>
  <c r="P945" i="93" s="1"/>
  <c r="M568" i="93"/>
  <c r="M585" i="93" s="1"/>
  <c r="M587" i="93" s="1"/>
  <c r="M589" i="93" s="1"/>
  <c r="O843" i="93"/>
  <c r="S568"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O944" i="93"/>
  <c r="J939" i="93"/>
  <c r="O945" i="93"/>
  <c r="J937"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H1037" i="93"/>
  <c r="H1035" i="93"/>
  <c r="H1031" i="93"/>
  <c r="H1030" i="93"/>
  <c r="I1029" i="93"/>
  <c r="I48" i="82"/>
  <c r="G1038"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K230" i="72" l="1"/>
  <c r="K1784" i="93" s="1"/>
  <c r="O1665" i="93"/>
  <c r="L230" i="72"/>
  <c r="L1784" i="93" s="1"/>
  <c r="P1665" i="93"/>
  <c r="H86" i="66"/>
  <c r="H84" i="66"/>
  <c r="H83" i="66"/>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16" i="75" s="1"/>
  <c r="I773" i="93" s="1"/>
  <c r="K773" i="93" s="1"/>
  <c r="L773"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N84" i="66" l="1"/>
  <c r="I14" i="75"/>
  <c r="I17" i="75"/>
  <c r="K16" i="75"/>
  <c r="L16" i="75" s="1"/>
  <c r="I15" i="75"/>
  <c r="I18" i="75"/>
  <c r="I10" i="75"/>
  <c r="I12" i="75"/>
  <c r="I11" i="75"/>
  <c r="I13" i="75"/>
  <c r="C20" i="74"/>
  <c r="C111" i="74"/>
  <c r="N400" i="93"/>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P932" i="93"/>
  <c r="N928" i="93"/>
  <c r="N929" i="93"/>
  <c r="D114" i="74"/>
  <c r="D1070" i="93" s="1"/>
  <c r="N403" i="93"/>
  <c r="L31" i="68"/>
  <c r="L394" i="93" s="1"/>
  <c r="L395" i="93" s="1"/>
  <c r="F115" i="78"/>
  <c r="C133" i="90"/>
  <c r="L59" i="85" s="1"/>
  <c r="Q770" i="93"/>
  <c r="G61" i="84"/>
  <c r="E61" i="84"/>
  <c r="K61" i="84"/>
  <c r="I61" i="84"/>
  <c r="G60" i="84"/>
  <c r="E60" i="84"/>
  <c r="I60" i="84"/>
  <c r="K60" i="84"/>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E55" i="84"/>
  <c r="I55" i="84"/>
  <c r="G55" i="84"/>
  <c r="K55" i="84"/>
  <c r="C58" i="84"/>
  <c r="G59" i="84"/>
  <c r="I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I90" i="74" s="1"/>
  <c r="O1870" i="93"/>
  <c r="G101" i="90"/>
  <c r="E41" i="72"/>
  <c r="E1595" i="93" s="1"/>
  <c r="O1968" i="93"/>
  <c r="A839" i="93"/>
  <c r="A3" i="93"/>
  <c r="J50" i="93"/>
  <c r="C43" i="90"/>
  <c r="H8" i="84"/>
  <c r="F14" i="85" s="1"/>
  <c r="A3" i="83" s="1"/>
  <c r="F86" i="74"/>
  <c r="C54" i="74"/>
  <c r="K54" i="74"/>
  <c r="E24" i="74"/>
  <c r="G25" i="74"/>
  <c r="F54" i="74"/>
  <c r="D55" i="74"/>
  <c r="D83" i="74"/>
  <c r="D90" i="74" s="1"/>
  <c r="B84" i="74"/>
  <c r="J84" i="74"/>
  <c r="J86" i="74"/>
  <c r="D112" i="74"/>
  <c r="B24" i="74"/>
  <c r="G84" i="74"/>
  <c r="C112" i="74"/>
  <c r="F24" i="74"/>
  <c r="G54" i="74"/>
  <c r="G1010" i="93" s="1"/>
  <c r="G1018" i="93" s="1"/>
  <c r="B56" i="74"/>
  <c r="E83" i="74"/>
  <c r="E90" i="74" s="1"/>
  <c r="C84" i="74"/>
  <c r="K84" i="74"/>
  <c r="D111" i="74"/>
  <c r="E114" i="74"/>
  <c r="J24" i="74"/>
  <c r="I24" i="74"/>
  <c r="E26" i="74"/>
  <c r="B54" i="74"/>
  <c r="J54" i="74"/>
  <c r="F56" i="74"/>
  <c r="H83" i="74"/>
  <c r="F84" i="74"/>
  <c r="B86" i="74"/>
  <c r="E111" i="74"/>
  <c r="P84" i="72"/>
  <c r="P1638" i="93" s="1"/>
  <c r="O67" i="72"/>
  <c r="F36" i="78"/>
  <c r="B29" i="74"/>
  <c r="N55" i="66"/>
  <c r="C28" i="74"/>
  <c r="D28" i="74" s="1"/>
  <c r="F116" i="78"/>
  <c r="F113" i="78"/>
  <c r="F117" i="78"/>
  <c r="O272" i="72"/>
  <c r="O1826" i="93" s="1"/>
  <c r="Q55" i="73"/>
  <c r="P42" i="73"/>
  <c r="P1136" i="93" s="1"/>
  <c r="O40" i="66"/>
  <c r="C118"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37" i="74"/>
  <c r="B993" i="93" s="1"/>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F119" i="74" l="1"/>
  <c r="I772" i="93"/>
  <c r="K772" i="93" s="1"/>
  <c r="L772" i="93" s="1"/>
  <c r="K15" i="75"/>
  <c r="L15" i="75" s="1"/>
  <c r="K33" i="74"/>
  <c r="I774" i="93"/>
  <c r="K774" i="93" s="1"/>
  <c r="L774" i="93" s="1"/>
  <c r="K17" i="75"/>
  <c r="L17" i="75" s="1"/>
  <c r="I775" i="93"/>
  <c r="K775" i="93" s="1"/>
  <c r="L775" i="93" s="1"/>
  <c r="K18" i="75"/>
  <c r="L18" i="75" s="1"/>
  <c r="I771" i="93"/>
  <c r="K771" i="93" s="1"/>
  <c r="L771" i="93" s="1"/>
  <c r="K14" i="75"/>
  <c r="L14" i="75" s="1"/>
  <c r="I768" i="93"/>
  <c r="K768" i="93" s="1"/>
  <c r="L768" i="93" s="1"/>
  <c r="K11" i="75"/>
  <c r="L11" i="75" s="1"/>
  <c r="I769" i="93"/>
  <c r="K769" i="93" s="1"/>
  <c r="L769" i="93" s="1"/>
  <c r="K12" i="75"/>
  <c r="L12" i="75" s="1"/>
  <c r="I767" i="93"/>
  <c r="K767" i="93" s="1"/>
  <c r="L767" i="93" s="1"/>
  <c r="K10" i="75"/>
  <c r="L10" i="75" s="1"/>
  <c r="D121" i="74"/>
  <c r="I770" i="93"/>
  <c r="K770" i="93" s="1"/>
  <c r="L770" i="93" s="1"/>
  <c r="K13" i="75"/>
  <c r="L13" i="75" s="1"/>
  <c r="G1039" i="93"/>
  <c r="G1046" i="93" s="1"/>
  <c r="C37" i="74"/>
  <c r="D37" i="74" s="1"/>
  <c r="F1067" i="93"/>
  <c r="F1078" i="93" s="1"/>
  <c r="I1039" i="93"/>
  <c r="I1046" i="93" s="1"/>
  <c r="C10" i="86"/>
  <c r="K1039" i="93"/>
  <c r="K1046" i="93" s="1"/>
  <c r="J1039" i="93"/>
  <c r="C1067" i="93"/>
  <c r="C1074" i="93" s="1"/>
  <c r="J985" i="93"/>
  <c r="D34" i="86"/>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I1050" i="93"/>
  <c r="D1077" i="93"/>
  <c r="J151" i="78"/>
  <c r="J153" i="78" s="1"/>
  <c r="E3" i="86"/>
  <c r="H985" i="93"/>
  <c r="I14" i="86"/>
  <c r="K985" i="93"/>
  <c r="E34" i="86"/>
  <c r="E985" i="93"/>
  <c r="F14" i="86"/>
  <c r="D1009" i="93"/>
  <c r="E20" i="87"/>
  <c r="C119" i="74"/>
  <c r="C1068" i="93"/>
  <c r="C1075" i="93" s="1"/>
  <c r="O933" i="93"/>
  <c r="G68" i="84"/>
  <c r="E68" i="84"/>
  <c r="K68" i="84"/>
  <c r="I68" i="84"/>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1009" i="93"/>
  <c r="E23" i="87"/>
  <c r="B979" i="93"/>
  <c r="E8" i="87"/>
  <c r="C75" i="84"/>
  <c r="J1046" i="93"/>
  <c r="F1009" i="93"/>
  <c r="E22" i="87"/>
  <c r="I979" i="93"/>
  <c r="E15" i="87"/>
  <c r="H90" i="74"/>
  <c r="H1039" i="93"/>
  <c r="C979" i="93"/>
  <c r="E9" i="87"/>
  <c r="K91" i="74"/>
  <c r="K1040" i="93"/>
  <c r="K1047" i="93" s="1"/>
  <c r="J93" i="74"/>
  <c r="J1042" i="93"/>
  <c r="J1049" i="93" s="1"/>
  <c r="D63" i="74"/>
  <c r="D1011" i="93"/>
  <c r="D1019" i="93" s="1"/>
  <c r="E32" i="74"/>
  <c r="E980" i="93"/>
  <c r="E988" i="93" s="1"/>
  <c r="E1009" i="93"/>
  <c r="E21" i="87"/>
  <c r="K1009" i="93"/>
  <c r="E27" i="87"/>
  <c r="F979" i="93"/>
  <c r="E12" i="87"/>
  <c r="B118" i="74"/>
  <c r="B1067" i="93"/>
  <c r="J1009" i="93"/>
  <c r="E26" i="87"/>
  <c r="F47" i="78"/>
  <c r="H18" i="84"/>
  <c r="J64" i="74"/>
  <c r="B985" i="93"/>
  <c r="C14" i="86"/>
  <c r="F1015" i="93"/>
  <c r="C54" i="86"/>
  <c r="C1015" i="93"/>
  <c r="G34" i="86"/>
  <c r="I985" i="93"/>
  <c r="C34" i="86"/>
  <c r="F91" i="74"/>
  <c r="F1040" i="93"/>
  <c r="F1047" i="93" s="1"/>
  <c r="B62" i="74"/>
  <c r="B1010" i="93"/>
  <c r="B1018" i="93" s="1"/>
  <c r="K979" i="93"/>
  <c r="K991" i="93" s="1"/>
  <c r="E17" i="87"/>
  <c r="D118" i="74"/>
  <c r="D1067" i="93"/>
  <c r="B64" i="74"/>
  <c r="B1012" i="93"/>
  <c r="B1020" i="93" s="1"/>
  <c r="H979" i="93"/>
  <c r="E14" i="87"/>
  <c r="D119" i="74"/>
  <c r="D1068" i="93"/>
  <c r="D1075" i="93" s="1"/>
  <c r="D1039" i="93"/>
  <c r="E30" i="87"/>
  <c r="G33" i="74"/>
  <c r="G981" i="93"/>
  <c r="G989" i="93" s="1"/>
  <c r="C62" i="74"/>
  <c r="C1010" i="93"/>
  <c r="C1018" i="93" s="1"/>
  <c r="I58" i="84"/>
  <c r="I62" i="84" s="1"/>
  <c r="K58" i="84"/>
  <c r="K62" i="84" s="1"/>
  <c r="C62" i="84"/>
  <c r="G58" i="84"/>
  <c r="G62" i="84" s="1"/>
  <c r="E58" i="84"/>
  <c r="E62" i="84" s="1"/>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J94" i="74"/>
  <c r="D122" i="74"/>
  <c r="D94" i="74"/>
  <c r="E94"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90" i="74"/>
  <c r="F94" i="74"/>
  <c r="B94" i="74"/>
  <c r="I94" i="74"/>
  <c r="I91" i="74"/>
  <c r="E62" i="74"/>
  <c r="J90" i="74"/>
  <c r="E122" i="74"/>
  <c r="C122" i="74"/>
  <c r="F122" i="74"/>
  <c r="F118" i="74"/>
  <c r="C94" i="74"/>
  <c r="C90" i="74"/>
  <c r="H94" i="74"/>
  <c r="G90" i="74"/>
  <c r="G94"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D10" i="86" l="1"/>
  <c r="R15" i="75"/>
  <c r="R772" i="93" s="1"/>
  <c r="R18" i="75"/>
  <c r="R775" i="93" s="1"/>
  <c r="R14" i="75"/>
  <c r="R771" i="93" s="1"/>
  <c r="R16" i="75"/>
  <c r="R773" i="93" s="1"/>
  <c r="R17" i="75"/>
  <c r="R774" i="93" s="1"/>
  <c r="I1153" i="93"/>
  <c r="L48" i="75"/>
  <c r="L49" i="75" s="1"/>
  <c r="R13" i="75"/>
  <c r="R770" i="93" s="1"/>
  <c r="R12" i="75"/>
  <c r="R769" i="93" s="1"/>
  <c r="R11" i="75"/>
  <c r="R768" i="93" s="1"/>
  <c r="R10" i="75"/>
  <c r="R767" i="93" s="1"/>
  <c r="L805" i="93"/>
  <c r="L806" i="93" s="1"/>
  <c r="I1160" i="93"/>
  <c r="H73" i="93"/>
  <c r="F1074" i="93"/>
  <c r="D993" i="93"/>
  <c r="E37" i="74"/>
  <c r="C993" i="93"/>
  <c r="E10" i="86"/>
  <c r="F1147" i="93"/>
  <c r="H1142" i="93"/>
  <c r="M1149" i="93"/>
  <c r="K1154" i="93"/>
  <c r="N1149" i="93"/>
  <c r="N1154" i="93" s="1"/>
  <c r="I1152" i="93"/>
  <c r="I1145" i="93"/>
  <c r="I1142" i="93"/>
  <c r="I1147" i="93" s="1"/>
  <c r="J1017" i="93"/>
  <c r="J1021" i="93"/>
  <c r="F987" i="93"/>
  <c r="F991" i="93"/>
  <c r="E1021" i="93"/>
  <c r="E1017" i="93"/>
  <c r="F1017" i="93"/>
  <c r="F1021" i="93"/>
  <c r="K75" i="84"/>
  <c r="K77" i="84" s="1"/>
  <c r="G75" i="84"/>
  <c r="G77" i="84" s="1"/>
  <c r="C77" i="84"/>
  <c r="E75" i="84"/>
  <c r="E77" i="84" s="1"/>
  <c r="I75" i="84"/>
  <c r="I77" i="84" s="1"/>
  <c r="G1017" i="93"/>
  <c r="G1021" i="93"/>
  <c r="E1074" i="93"/>
  <c r="E1078" i="93"/>
  <c r="B1017" i="93"/>
  <c r="B1021" i="93"/>
  <c r="C1017" i="93"/>
  <c r="C1021" i="93"/>
  <c r="F1140" i="93"/>
  <c r="H1135" i="93"/>
  <c r="M1136" i="93"/>
  <c r="N1136" i="93"/>
  <c r="H1836" i="93"/>
  <c r="H76" i="93"/>
  <c r="H77" i="93" s="1"/>
  <c r="F1154" i="93"/>
  <c r="H1149" i="93"/>
  <c r="M1143" i="93"/>
  <c r="N1143" i="93"/>
  <c r="F121" i="78"/>
  <c r="B975" i="93"/>
  <c r="F558" i="93"/>
  <c r="F557" i="93"/>
  <c r="M1150" i="93"/>
  <c r="N1150" i="93"/>
  <c r="N1159" i="93"/>
  <c r="M1159" i="93"/>
  <c r="I44" i="68"/>
  <c r="I407" i="93" s="1"/>
  <c r="I1136" i="93"/>
  <c r="I1156" i="93"/>
  <c r="I1161" i="93" s="1"/>
  <c r="I1137" i="93"/>
  <c r="I1144" i="93"/>
  <c r="I1157" i="93"/>
  <c r="C1078" i="93"/>
  <c r="K987" i="93"/>
  <c r="J18" i="84"/>
  <c r="C40" i="84"/>
  <c r="B1074" i="93"/>
  <c r="B1078" i="93"/>
  <c r="H1017" i="93"/>
  <c r="H1021" i="93"/>
  <c r="C1050" i="93"/>
  <c r="C1046" i="93"/>
  <c r="D1078" i="93"/>
  <c r="G991" i="93"/>
  <c r="G987" i="93"/>
  <c r="P414" i="93"/>
  <c r="P413" i="93"/>
  <c r="I423" i="93"/>
  <c r="K1161" i="93"/>
  <c r="M1156" i="93"/>
  <c r="N1156" i="93"/>
  <c r="N1161" i="93" s="1"/>
  <c r="M1135" i="93"/>
  <c r="N1135" i="93"/>
  <c r="N1140" i="93" s="1"/>
  <c r="K1140" i="93"/>
  <c r="N1138" i="93"/>
  <c r="M1138" i="93"/>
  <c r="H78" i="93"/>
  <c r="F56" i="89"/>
  <c r="D37" i="90" s="1"/>
  <c r="N1158" i="93"/>
  <c r="M1158" i="93"/>
  <c r="K1147" i="93"/>
  <c r="M1142" i="93"/>
  <c r="N1142" i="93"/>
  <c r="N1147" i="93" s="1"/>
  <c r="M1152" i="93"/>
  <c r="N1152" i="93"/>
  <c r="M1151" i="93"/>
  <c r="N1151" i="93"/>
  <c r="C41" i="74"/>
  <c r="B997" i="93"/>
  <c r="I1135" i="93"/>
  <c r="I1140" i="93" s="1"/>
  <c r="I1138" i="93"/>
  <c r="I1158" i="93"/>
  <c r="I1149" i="93"/>
  <c r="I1154" i="93" s="1"/>
  <c r="I1146" i="93"/>
  <c r="D1074" i="93"/>
  <c r="K1021" i="93"/>
  <c r="K1017" i="93"/>
  <c r="C991" i="93"/>
  <c r="C987" i="93"/>
  <c r="C986" i="93"/>
  <c r="I987" i="93"/>
  <c r="I991" i="93"/>
  <c r="J1050" i="93"/>
  <c r="E1050" i="93"/>
  <c r="E1046" i="93"/>
  <c r="B1046" i="93"/>
  <c r="B1050" i="93"/>
  <c r="G35" i="86"/>
  <c r="F15" i="86"/>
  <c r="O17" i="86"/>
  <c r="E35" i="86"/>
  <c r="H35" i="86"/>
  <c r="G15" i="86"/>
  <c r="E15" i="86"/>
  <c r="H55" i="86"/>
  <c r="H15" i="86"/>
  <c r="O16" i="86"/>
  <c r="D35" i="86"/>
  <c r="I15" i="86"/>
  <c r="F55" i="86"/>
  <c r="C35" i="86"/>
  <c r="D55" i="86"/>
  <c r="D15" i="86"/>
  <c r="C15" i="86"/>
  <c r="G55" i="86"/>
  <c r="E55" i="86"/>
  <c r="F35" i="86"/>
  <c r="I35" i="86"/>
  <c r="C55" i="86"/>
  <c r="D987" i="93"/>
  <c r="D991" i="93"/>
  <c r="D986" i="93"/>
  <c r="I1017" i="93"/>
  <c r="I1021" i="93"/>
  <c r="E987" i="93"/>
  <c r="E991" i="93"/>
  <c r="F1046" i="93"/>
  <c r="F1050" i="93"/>
  <c r="L1954" i="93"/>
  <c r="D8" i="88"/>
  <c r="E8" i="88" s="1"/>
  <c r="N1139" i="93"/>
  <c r="M1139" i="93"/>
  <c r="N1160" i="93"/>
  <c r="M1160" i="93"/>
  <c r="M1145" i="93"/>
  <c r="N1145" i="93"/>
  <c r="E7" i="88"/>
  <c r="M1144" i="93"/>
  <c r="N1144" i="93"/>
  <c r="H1156" i="93"/>
  <c r="F1161" i="93"/>
  <c r="N1137" i="93"/>
  <c r="M1137" i="93"/>
  <c r="N1157" i="93"/>
  <c r="M1157" i="93"/>
  <c r="M1146" i="93"/>
  <c r="N1146" i="93"/>
  <c r="T1731" i="93"/>
  <c r="P934" i="93"/>
  <c r="M932" i="93" s="1"/>
  <c r="N1153" i="93"/>
  <c r="M1153" i="93"/>
  <c r="E53" i="82"/>
  <c r="E984" i="93"/>
  <c r="E986" i="93" s="1"/>
  <c r="I1139" i="93"/>
  <c r="I1143" i="93"/>
  <c r="I1159" i="93"/>
  <c r="I1150" i="93"/>
  <c r="I1151" i="93"/>
  <c r="D1046" i="93"/>
  <c r="D1050" i="93"/>
  <c r="H987" i="93"/>
  <c r="H991" i="93"/>
  <c r="H1050" i="93"/>
  <c r="H1046" i="93"/>
  <c r="K1050" i="93"/>
  <c r="J987" i="93"/>
  <c r="J991" i="93"/>
  <c r="D1017" i="93"/>
  <c r="D1021" i="93"/>
  <c r="K40" i="84"/>
  <c r="D18" i="84"/>
  <c r="C38" i="84"/>
  <c r="M1938" i="93"/>
  <c r="M1939" i="93" s="1"/>
  <c r="J1938" i="93"/>
  <c r="J1939" i="93" s="1"/>
  <c r="G1050" i="93"/>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14" i="74"/>
  <c r="G14" i="74" s="1"/>
  <c r="H122" i="75"/>
  <c r="C19" i="74"/>
  <c r="K1163" i="93"/>
  <c r="F1163" i="93"/>
  <c r="H79" i="93"/>
  <c r="E13" i="88"/>
  <c r="P415" i="93"/>
  <c r="O19" i="86"/>
  <c r="O23" i="86" s="1"/>
  <c r="O25" i="86" s="1"/>
  <c r="O31" i="86" s="1"/>
  <c r="E993" i="93"/>
  <c r="F37" i="74"/>
  <c r="F10" i="86"/>
  <c r="D41" i="74"/>
  <c r="C997" i="93"/>
  <c r="L1968" i="93"/>
  <c r="P67" i="93"/>
  <c r="L1952" i="93"/>
  <c r="L1953" i="93" s="1"/>
  <c r="M1952" i="93" s="1"/>
  <c r="E13" i="84"/>
  <c r="F53" i="82"/>
  <c r="F984" i="93"/>
  <c r="F986" i="93" s="1"/>
  <c r="C81" i="84"/>
  <c r="C80" i="84"/>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9" i="74"/>
  <c r="J119" i="75"/>
  <c r="O117" i="75"/>
  <c r="F480" i="93" s="1"/>
  <c r="J62" i="75"/>
  <c r="H7" i="88" s="1"/>
  <c r="O60" i="75"/>
  <c r="C52" i="84" l="1"/>
  <c r="B15" i="74"/>
  <c r="H15" i="74" s="1"/>
  <c r="F14" i="74"/>
  <c r="D14" i="74"/>
  <c r="C14" i="74"/>
  <c r="E14" i="74"/>
  <c r="H879" i="93"/>
  <c r="O879" i="93" s="1"/>
  <c r="O122" i="75"/>
  <c r="B971" i="93"/>
  <c r="J590" i="93"/>
  <c r="J591" i="93" s="1"/>
  <c r="J593" i="93" s="1"/>
  <c r="F993" i="93"/>
  <c r="G37" i="74"/>
  <c r="G10" i="86"/>
  <c r="G570" i="93"/>
  <c r="P479" i="93"/>
  <c r="K18" i="88"/>
  <c r="H16" i="85"/>
  <c r="B977" i="93"/>
  <c r="P936" i="93"/>
  <c r="I7" i="88"/>
  <c r="I13" i="88" s="1"/>
  <c r="H12" i="88"/>
  <c r="D34" i="90" s="1"/>
  <c r="J1599" i="93"/>
  <c r="P168" i="93"/>
  <c r="O168" i="93"/>
  <c r="F479" i="93"/>
  <c r="P167" i="93"/>
  <c r="G53" i="82"/>
  <c r="G984" i="93"/>
  <c r="G986" i="93" s="1"/>
  <c r="M590" i="93"/>
  <c r="M591" i="93" s="1"/>
  <c r="M593" i="93" s="1"/>
  <c r="E41" i="74"/>
  <c r="D997"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E15" i="74" l="1"/>
  <c r="G15" i="74"/>
  <c r="G16" i="74" s="1"/>
  <c r="B16" i="74"/>
  <c r="D15" i="74"/>
  <c r="F15" i="74"/>
  <c r="F16" i="74" s="1"/>
  <c r="C15" i="74"/>
  <c r="C16" i="74" s="1"/>
  <c r="C53" i="84"/>
  <c r="B972" i="93"/>
  <c r="B978" i="93" s="1"/>
  <c r="E52" i="84"/>
  <c r="I52" i="84"/>
  <c r="G52" i="84"/>
  <c r="K52" i="84"/>
  <c r="J594" i="93"/>
  <c r="G993" i="93"/>
  <c r="H37" i="74"/>
  <c r="H10" i="86"/>
  <c r="F54" i="89"/>
  <c r="D33" i="90" s="1"/>
  <c r="D55" i="92" s="1"/>
  <c r="J157" i="78"/>
  <c r="J158" i="78" s="1"/>
  <c r="G15" i="82"/>
  <c r="G19" i="82" s="1"/>
  <c r="E47" i="78"/>
  <c r="N94" i="93"/>
  <c r="L1951" i="93"/>
  <c r="O1980" i="93"/>
  <c r="O1981" i="93" s="1"/>
  <c r="J1836" i="93"/>
  <c r="L1836" i="93" s="1"/>
  <c r="O1975" i="93"/>
  <c r="O1976" i="93" s="1"/>
  <c r="M1962" i="93"/>
  <c r="D570" i="93"/>
  <c r="F560" i="93"/>
  <c r="E483" i="93"/>
  <c r="E514" i="93"/>
  <c r="N97" i="93"/>
  <c r="J479" i="93"/>
  <c r="C13" i="84"/>
  <c r="F41" i="74"/>
  <c r="E997" i="93"/>
  <c r="M937" i="93"/>
  <c r="P937" i="93"/>
  <c r="P947" i="93"/>
  <c r="H53" i="82"/>
  <c r="H984" i="93"/>
  <c r="H986" i="93"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B22" i="74"/>
  <c r="E21" i="74"/>
  <c r="H21" i="74"/>
  <c r="I13" i="86" s="1"/>
  <c r="G21" i="74"/>
  <c r="D21" i="74"/>
  <c r="I19" i="74"/>
  <c r="I14" i="74"/>
  <c r="J13" i="74"/>
  <c r="J20" i="74" s="1"/>
  <c r="I15" i="74"/>
  <c r="I21" i="74"/>
  <c r="C33" i="86" s="1"/>
  <c r="H16" i="74"/>
  <c r="H36" i="74" s="1"/>
  <c r="C36" i="74" l="1"/>
  <c r="B992" i="93"/>
  <c r="B991" i="93"/>
  <c r="B987" i="93"/>
  <c r="B986" i="93"/>
  <c r="J4" i="91"/>
  <c r="K7" i="74"/>
  <c r="C54" i="84"/>
  <c r="C56" i="84" s="1"/>
  <c r="C64" i="84" s="1"/>
  <c r="C70" i="84" s="1"/>
  <c r="C76" i="84" s="1"/>
  <c r="C73" i="84" s="1"/>
  <c r="B36" i="74"/>
  <c r="K5" i="74"/>
  <c r="G36" i="74"/>
  <c r="E16" i="74"/>
  <c r="E36" i="74" s="1"/>
  <c r="I53" i="84"/>
  <c r="I54" i="84" s="1"/>
  <c r="I56" i="84" s="1"/>
  <c r="I64" i="84" s="1"/>
  <c r="I70" i="84" s="1"/>
  <c r="K53" i="84"/>
  <c r="E53" i="84"/>
  <c r="E54" i="84" s="1"/>
  <c r="G53" i="84"/>
  <c r="G54" i="84" s="1"/>
  <c r="G56" i="84" s="1"/>
  <c r="G64" i="84" s="1"/>
  <c r="G70" i="84" s="1"/>
  <c r="C22" i="74"/>
  <c r="C31" i="74" s="1"/>
  <c r="D16" i="74"/>
  <c r="D22" i="74" s="1"/>
  <c r="F36" i="74"/>
  <c r="B31" i="74"/>
  <c r="B35" i="74"/>
  <c r="D35" i="90"/>
  <c r="I64" i="92" s="1"/>
  <c r="H993" i="93"/>
  <c r="I37" i="74"/>
  <c r="I10" i="86"/>
  <c r="I53" i="82"/>
  <c r="I984" i="93"/>
  <c r="I986" i="93" s="1"/>
  <c r="F52" i="89"/>
  <c r="K19" i="88"/>
  <c r="F16" i="85"/>
  <c r="D16" i="83"/>
  <c r="H19" i="84"/>
  <c r="C19" i="84"/>
  <c r="L305" i="73"/>
  <c r="M1399" i="93"/>
  <c r="L1399" i="93" s="1"/>
  <c r="L301" i="73"/>
  <c r="M1395" i="93"/>
  <c r="L1395" i="93" s="1"/>
  <c r="G41" i="74"/>
  <c r="F997" i="93"/>
  <c r="O51" i="72"/>
  <c r="O1605" i="93" s="1"/>
  <c r="O1606" i="93"/>
  <c r="P51" i="72"/>
  <c r="P1605" i="93" s="1"/>
  <c r="P1606" i="93"/>
  <c r="F13" i="86"/>
  <c r="E13" i="86"/>
  <c r="G22" i="74"/>
  <c r="H13" i="86"/>
  <c r="F22" i="74"/>
  <c r="G13" i="86"/>
  <c r="B30" i="74"/>
  <c r="C9" i="86" s="1"/>
  <c r="C17" i="86" s="1"/>
  <c r="C18" i="86" s="1"/>
  <c r="C20" i="86" s="1"/>
  <c r="C24" i="86" s="1"/>
  <c r="K6" i="86" s="1"/>
  <c r="G66" i="86" s="1"/>
  <c r="N85" i="85" s="1"/>
  <c r="B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C35" i="74" l="1"/>
  <c r="D36" i="74"/>
  <c r="C30" i="74"/>
  <c r="D9" i="86" s="1"/>
  <c r="D17" i="86" s="1"/>
  <c r="D18" i="86" s="1"/>
  <c r="D20" i="86" s="1"/>
  <c r="D24" i="86" s="1"/>
  <c r="K7" i="86" s="1"/>
  <c r="C44" i="82"/>
  <c r="C46" i="82" s="1"/>
  <c r="E22" i="74"/>
  <c r="E44" i="82" s="1"/>
  <c r="E51" i="82" s="1"/>
  <c r="E56" i="84"/>
  <c r="E64" i="84" s="1"/>
  <c r="E70" i="84" s="1"/>
  <c r="E72" i="84" s="1"/>
  <c r="G76" i="84"/>
  <c r="G73" i="84" s="1"/>
  <c r="G72" i="84"/>
  <c r="I76" i="84"/>
  <c r="I73" i="84" s="1"/>
  <c r="I72" i="84"/>
  <c r="C72" i="84"/>
  <c r="K54" i="84"/>
  <c r="K56" i="84" s="1"/>
  <c r="K64" i="84" s="1"/>
  <c r="K70" i="84" s="1"/>
  <c r="I36" i="74"/>
  <c r="G44" i="82"/>
  <c r="G51" i="82" s="1"/>
  <c r="G35" i="74"/>
  <c r="G31" i="74"/>
  <c r="I35" i="74"/>
  <c r="I31" i="74"/>
  <c r="D30" i="74"/>
  <c r="E9" i="86" s="1"/>
  <c r="E17" i="86" s="1"/>
  <c r="E18" i="86" s="1"/>
  <c r="E20" i="86" s="1"/>
  <c r="E24" i="86" s="1"/>
  <c r="K8" i="86" s="1"/>
  <c r="D31" i="74"/>
  <c r="D35" i="74"/>
  <c r="F44" i="82"/>
  <c r="F51" i="82" s="1"/>
  <c r="F31" i="74"/>
  <c r="F35" i="74"/>
  <c r="H44" i="82"/>
  <c r="H51" i="82" s="1"/>
  <c r="H31" i="74"/>
  <c r="H35" i="74"/>
  <c r="D44" i="82"/>
  <c r="D46" i="82" s="1"/>
  <c r="G30" i="74"/>
  <c r="H9" i="86" s="1"/>
  <c r="H17" i="86" s="1"/>
  <c r="H18" i="86" s="1"/>
  <c r="H20" i="86" s="1"/>
  <c r="H24" i="86" s="1"/>
  <c r="K11" i="86" s="1"/>
  <c r="F30" i="74"/>
  <c r="G9" i="86" s="1"/>
  <c r="G17" i="86" s="1"/>
  <c r="G18" i="86" s="1"/>
  <c r="G20" i="86" s="1"/>
  <c r="G24" i="86" s="1"/>
  <c r="K10" i="86" s="1"/>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S19" i="74"/>
  <c r="C51" i="82"/>
  <c r="I30" i="74"/>
  <c r="C29" i="86" s="1"/>
  <c r="I44" i="82"/>
  <c r="B51" i="82"/>
  <c r="B46" i="82"/>
  <c r="O396" i="72"/>
  <c r="J162" i="78"/>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S20" i="74" l="1"/>
  <c r="E31" i="74"/>
  <c r="F46" i="82"/>
  <c r="E30" i="74"/>
  <c r="F9" i="86" s="1"/>
  <c r="F17" i="86" s="1"/>
  <c r="F18" i="86" s="1"/>
  <c r="F20" i="86" s="1"/>
  <c r="F24" i="86" s="1"/>
  <c r="K9" i="86" s="1"/>
  <c r="E35" i="74"/>
  <c r="E46" i="82"/>
  <c r="E76" i="84"/>
  <c r="E73" i="84" s="1"/>
  <c r="K72" i="84"/>
  <c r="K76" i="84"/>
  <c r="K73" i="84" s="1"/>
  <c r="H46" i="82"/>
  <c r="G46" i="82"/>
  <c r="J36" i="74"/>
  <c r="J44" i="82"/>
  <c r="J51" i="82" s="1"/>
  <c r="J35" i="74"/>
  <c r="J31" i="74"/>
  <c r="S21" i="74"/>
  <c r="D51" i="82"/>
  <c r="J993" i="93"/>
  <c r="K37" i="74"/>
  <c r="C37" i="86"/>
  <c r="C38" i="86" s="1"/>
  <c r="C40" i="86" s="1"/>
  <c r="C44" i="86" s="1"/>
  <c r="K13" i="86" s="1"/>
  <c r="D30" i="86"/>
  <c r="I41" i="74"/>
  <c r="H997" i="93"/>
  <c r="E40" i="72"/>
  <c r="E1594" i="93" s="1"/>
  <c r="O1950" i="93"/>
  <c r="G598" i="93"/>
  <c r="J601" i="93"/>
  <c r="J603" i="93" s="1"/>
  <c r="J605" i="93" s="1"/>
  <c r="J607" i="93" s="1"/>
  <c r="I51" i="82"/>
  <c r="I46" i="82"/>
  <c r="K53" i="82"/>
  <c r="G162" i="78"/>
  <c r="J165" i="78"/>
  <c r="J167" i="78" s="1"/>
  <c r="J30" i="74"/>
  <c r="D29" i="86" s="1"/>
  <c r="K16" i="74"/>
  <c r="K22" i="74" s="1"/>
  <c r="C43" i="74"/>
  <c r="C50" i="74" s="1"/>
  <c r="B49" i="74"/>
  <c r="B51" i="74"/>
  <c r="F33" i="86" s="1"/>
  <c r="B45" i="74"/>
  <c r="B44" i="74"/>
  <c r="S24" i="74" l="1"/>
  <c r="S23" i="74"/>
  <c r="S26" i="74"/>
  <c r="S25" i="74"/>
  <c r="S22" i="74"/>
  <c r="B15" i="82"/>
  <c r="J169" i="78"/>
  <c r="J171" i="78" s="1"/>
  <c r="J611" i="93"/>
  <c r="E535" i="93" s="1"/>
  <c r="J535" i="93" s="1"/>
  <c r="M609" i="93"/>
  <c r="J46" i="82"/>
  <c r="K36" i="74"/>
  <c r="K44" i="82"/>
  <c r="K46" i="82" s="1"/>
  <c r="K31" i="74"/>
  <c r="K35" i="74"/>
  <c r="D37" i="86"/>
  <c r="D38" i="86" s="1"/>
  <c r="D40" i="86" s="1"/>
  <c r="D44" i="86" s="1"/>
  <c r="K14" i="86" s="1"/>
  <c r="K993" i="93"/>
  <c r="B67" i="74"/>
  <c r="E30" i="86"/>
  <c r="B73" i="82"/>
  <c r="B1014" i="93"/>
  <c r="B1016" i="93" s="1"/>
  <c r="J41" i="74"/>
  <c r="I997" i="93"/>
  <c r="S27" i="74"/>
  <c r="C58" i="74"/>
  <c r="K30" i="74"/>
  <c r="E29" i="86" s="1"/>
  <c r="O43" i="72"/>
  <c r="O1597" i="93" s="1"/>
  <c r="R1597" i="93" s="1"/>
  <c r="D43" i="74"/>
  <c r="D50" i="74" s="1"/>
  <c r="C44" i="74"/>
  <c r="C49" i="74"/>
  <c r="C45" i="74"/>
  <c r="C51" i="74"/>
  <c r="G33" i="86" s="1"/>
  <c r="B46" i="74"/>
  <c r="B52" i="74" s="1"/>
  <c r="K51" i="82" l="1"/>
  <c r="J175" i="78"/>
  <c r="M173" i="78"/>
  <c r="B66" i="74"/>
  <c r="B61" i="74"/>
  <c r="B65" i="74"/>
  <c r="B1023" i="93"/>
  <c r="C67" i="74"/>
  <c r="F30" i="86"/>
  <c r="E37" i="86"/>
  <c r="E38" i="86" s="1"/>
  <c r="E40" i="86" s="1"/>
  <c r="E44" i="86" s="1"/>
  <c r="K15" i="86" s="1"/>
  <c r="K41" i="74"/>
  <c r="J997" i="93"/>
  <c r="C73" i="82"/>
  <c r="C1014" i="93"/>
  <c r="C1016" i="93" s="1"/>
  <c r="B60" i="74"/>
  <c r="F29" i="86" s="1"/>
  <c r="B64" i="82"/>
  <c r="S28" i="74"/>
  <c r="D58" i="74"/>
  <c r="P43" i="72"/>
  <c r="R43" i="72"/>
  <c r="C46" i="74"/>
  <c r="C52" i="74" s="1"/>
  <c r="D44" i="74"/>
  <c r="E43" i="74"/>
  <c r="E50" i="74" s="1"/>
  <c r="D51" i="74"/>
  <c r="H33" i="86" s="1"/>
  <c r="D49" i="74"/>
  <c r="D45" i="74"/>
  <c r="M61" i="85" l="1"/>
  <c r="P61" i="85" s="1"/>
  <c r="L50" i="68"/>
  <c r="N50" i="68" s="1"/>
  <c r="L49" i="68"/>
  <c r="L413" i="93"/>
  <c r="N413" i="93" s="1"/>
  <c r="I9" i="66"/>
  <c r="C21" i="86"/>
  <c r="I20" i="93"/>
  <c r="L412" i="93"/>
  <c r="N412" i="93" s="1"/>
  <c r="E99" i="78"/>
  <c r="J99" i="78" s="1"/>
  <c r="C66" i="74"/>
  <c r="C64" i="82"/>
  <c r="C71" i="82" s="1"/>
  <c r="C65" i="74"/>
  <c r="C61" i="74"/>
  <c r="S29" i="74"/>
  <c r="F37" i="86"/>
  <c r="F38" i="86" s="1"/>
  <c r="F40" i="86" s="1"/>
  <c r="F44" i="86" s="1"/>
  <c r="K16" i="86" s="1"/>
  <c r="C1023" i="93"/>
  <c r="D67" i="74"/>
  <c r="G30" i="86"/>
  <c r="D73" i="82"/>
  <c r="D1014" i="93"/>
  <c r="D1016" i="93" s="1"/>
  <c r="B71" i="74"/>
  <c r="K997" i="93"/>
  <c r="P441" i="72"/>
  <c r="P444" i="72" s="1"/>
  <c r="P1597" i="93"/>
  <c r="P1995" i="93" s="1"/>
  <c r="B71" i="82"/>
  <c r="B66" i="82"/>
  <c r="C60" i="74"/>
  <c r="G29" i="86" s="1"/>
  <c r="E58" i="74"/>
  <c r="D46" i="74"/>
  <c r="D52" i="74" s="1"/>
  <c r="E44" i="74"/>
  <c r="F43" i="74"/>
  <c r="F50" i="74" s="1"/>
  <c r="E49" i="74"/>
  <c r="E45" i="74"/>
  <c r="E51" i="74"/>
  <c r="I33" i="86" s="1"/>
  <c r="B14" i="82" l="1"/>
  <c r="N49" i="68"/>
  <c r="C41" i="86"/>
  <c r="D41" i="86" s="1"/>
  <c r="E41" i="86" s="1"/>
  <c r="C22" i="86"/>
  <c r="C42" i="86" s="1"/>
  <c r="D42" i="86" s="1"/>
  <c r="E42" i="86" s="1"/>
  <c r="D21" i="86"/>
  <c r="C66" i="82"/>
  <c r="D66" i="74"/>
  <c r="D64" i="82"/>
  <c r="D71" i="82" s="1"/>
  <c r="D65" i="74"/>
  <c r="D61" i="74"/>
  <c r="G37" i="86"/>
  <c r="G38" i="86" s="1"/>
  <c r="G40" i="86" s="1"/>
  <c r="G44" i="86" s="1"/>
  <c r="K17" i="86" s="1"/>
  <c r="D1023" i="93"/>
  <c r="E67" i="74"/>
  <c r="H30" i="86"/>
  <c r="C71" i="74"/>
  <c r="B1027" i="93"/>
  <c r="E73" i="82"/>
  <c r="E1014" i="93"/>
  <c r="E1016" i="93" s="1"/>
  <c r="P1998" i="93"/>
  <c r="P1560" i="93"/>
  <c r="S30" i="74"/>
  <c r="F58" i="74"/>
  <c r="D60" i="74"/>
  <c r="P6" i="72"/>
  <c r="E46" i="74"/>
  <c r="E52" i="74" s="1"/>
  <c r="G43" i="74"/>
  <c r="G50" i="74" s="1"/>
  <c r="F45" i="74"/>
  <c r="F51" i="74"/>
  <c r="C53" i="86" s="1"/>
  <c r="F49" i="74"/>
  <c r="F44" i="74"/>
  <c r="E21" i="86" l="1"/>
  <c r="D22" i="86"/>
  <c r="B20" i="82"/>
  <c r="B21" i="82" s="1"/>
  <c r="G20" i="82"/>
  <c r="D66" i="82"/>
  <c r="E66" i="74"/>
  <c r="E64" i="82"/>
  <c r="E66" i="82" s="1"/>
  <c r="E61" i="74"/>
  <c r="E65" i="74"/>
  <c r="E1023" i="93"/>
  <c r="F67" i="74"/>
  <c r="I30" i="86"/>
  <c r="D71" i="74"/>
  <c r="C1027" i="93"/>
  <c r="F73" i="82"/>
  <c r="F1014" i="93"/>
  <c r="F1016" i="93" s="1"/>
  <c r="S31" i="74"/>
  <c r="H29" i="86"/>
  <c r="H37" i="86" s="1"/>
  <c r="H38" i="86" s="1"/>
  <c r="H40" i="86" s="1"/>
  <c r="H44" i="86" s="1"/>
  <c r="K18" i="86" s="1"/>
  <c r="E60" i="74"/>
  <c r="I29" i="86" s="1"/>
  <c r="G58" i="74"/>
  <c r="F46" i="74"/>
  <c r="F52" i="74" s="1"/>
  <c r="H43" i="74"/>
  <c r="H50" i="74" s="1"/>
  <c r="G44" i="74"/>
  <c r="G45" i="74"/>
  <c r="G51" i="74"/>
  <c r="D53" i="86" s="1"/>
  <c r="G49" i="74"/>
  <c r="E71" i="82" l="1"/>
  <c r="F21" i="86"/>
  <c r="E22" i="86"/>
  <c r="F66" i="74"/>
  <c r="F61" i="74"/>
  <c r="F65" i="74"/>
  <c r="F1023" i="93"/>
  <c r="G67" i="74"/>
  <c r="C50" i="86"/>
  <c r="I37" i="86"/>
  <c r="I38" i="86" s="1"/>
  <c r="I40" i="86" s="1"/>
  <c r="I44" i="86" s="1"/>
  <c r="K19" i="86" s="1"/>
  <c r="G73" i="82"/>
  <c r="G1014" i="93"/>
  <c r="G1016" i="93" s="1"/>
  <c r="E71" i="74"/>
  <c r="D1027" i="93"/>
  <c r="F60" i="74"/>
  <c r="F64" i="82"/>
  <c r="S32" i="74"/>
  <c r="H58" i="74"/>
  <c r="I43" i="74"/>
  <c r="I50" i="74" s="1"/>
  <c r="H44" i="74"/>
  <c r="H45" i="74"/>
  <c r="H51" i="74"/>
  <c r="E53" i="86" s="1"/>
  <c r="H49" i="74"/>
  <c r="G46" i="74"/>
  <c r="G52" i="74" s="1"/>
  <c r="G21" i="86" l="1"/>
  <c r="F22" i="86"/>
  <c r="G66" i="74"/>
  <c r="G65" i="74"/>
  <c r="G61" i="74"/>
  <c r="G1023" i="93"/>
  <c r="H67" i="74"/>
  <c r="E50" i="86" s="1"/>
  <c r="E57" i="86" s="1"/>
  <c r="E58" i="86" s="1"/>
  <c r="E60" i="86" s="1"/>
  <c r="E64" i="86" s="1"/>
  <c r="K22" i="86" s="1"/>
  <c r="D50" i="86"/>
  <c r="D57" i="86" s="1"/>
  <c r="D58" i="86" s="1"/>
  <c r="D60" i="86" s="1"/>
  <c r="D64" i="86" s="1"/>
  <c r="K21" i="86" s="1"/>
  <c r="H73" i="82"/>
  <c r="H1014" i="93"/>
  <c r="H1016" i="93" s="1"/>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I45" i="74"/>
  <c r="H21" i="86" l="1"/>
  <c r="G22" i="86"/>
  <c r="H66" i="74"/>
  <c r="H61" i="74"/>
  <c r="H65" i="74"/>
  <c r="H1023" i="93"/>
  <c r="I67" i="74"/>
  <c r="G71" i="74"/>
  <c r="G1027" i="93" s="1"/>
  <c r="F1027" i="93"/>
  <c r="I73" i="82"/>
  <c r="I1014" i="93"/>
  <c r="I1016" i="93"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5" i="74"/>
  <c r="I61" i="74"/>
  <c r="I1023" i="93"/>
  <c r="J67" i="74"/>
  <c r="F50" i="86"/>
  <c r="F57" i="86" s="1"/>
  <c r="F58" i="86" s="1"/>
  <c r="F60" i="86" s="1"/>
  <c r="F64" i="86" s="1"/>
  <c r="K23"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J1023" i="93"/>
  <c r="K67" i="74"/>
  <c r="G50" i="86"/>
  <c r="G57" i="86" s="1"/>
  <c r="G58" i="86" s="1"/>
  <c r="G60" i="86" s="1"/>
  <c r="G64" i="86" s="1"/>
  <c r="K24"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5" i="74"/>
  <c r="K61" i="74"/>
  <c r="O8" i="86"/>
  <c r="O14" i="86" s="1"/>
  <c r="O33" i="86" s="1"/>
  <c r="H63" i="86" s="1"/>
  <c r="L93" i="85"/>
  <c r="K1023" i="93"/>
  <c r="L63" i="85"/>
  <c r="C85" i="90"/>
  <c r="B96" i="74"/>
  <c r="H50" i="86"/>
  <c r="H57" i="86" s="1"/>
  <c r="H58" i="86" s="1"/>
  <c r="H60" i="86" s="1"/>
  <c r="H64" i="86" s="1"/>
  <c r="K25" i="86" s="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B1052" i="93"/>
  <c r="C96" i="74"/>
  <c r="F45" i="68"/>
  <c r="F408" i="93" s="1"/>
  <c r="F85" i="92"/>
  <c r="F89" i="92" s="1"/>
  <c r="F105" i="92" s="1"/>
  <c r="K71" i="82"/>
  <c r="K74" i="82" s="1"/>
  <c r="K75" i="82" s="1"/>
  <c r="K76" i="82" s="1"/>
  <c r="K66" i="82"/>
  <c r="D88" i="74"/>
  <c r="D1044" i="93" s="1"/>
  <c r="D1045" i="93" s="1"/>
  <c r="C76" i="74"/>
  <c r="C82" i="74" s="1"/>
  <c r="C89" i="74" s="1"/>
  <c r="E73" i="74"/>
  <c r="E80" i="74" s="1"/>
  <c r="D81" i="74"/>
  <c r="D75" i="74"/>
  <c r="D79" i="74"/>
  <c r="D74" i="74"/>
  <c r="C95" i="74" l="1"/>
  <c r="C1052" i="93"/>
  <c r="D96" i="74"/>
  <c r="E88" i="74"/>
  <c r="E1044" i="93" s="1"/>
  <c r="E1045" i="93" s="1"/>
  <c r="D76" i="74"/>
  <c r="D82" i="74" s="1"/>
  <c r="D89" i="74" s="1"/>
  <c r="F73" i="74"/>
  <c r="F80" i="74" s="1"/>
  <c r="E74" i="74"/>
  <c r="E79" i="74"/>
  <c r="E75" i="74"/>
  <c r="E81" i="74"/>
  <c r="D95" i="74" l="1"/>
  <c r="D1052" i="93"/>
  <c r="E96" i="74"/>
  <c r="F88" i="74"/>
  <c r="F1044" i="93" s="1"/>
  <c r="F1045" i="93" s="1"/>
  <c r="E76" i="74"/>
  <c r="E82" i="74" s="1"/>
  <c r="E89" i="74" s="1"/>
  <c r="G73" i="74"/>
  <c r="G80" i="74" s="1"/>
  <c r="F75" i="74"/>
  <c r="F74" i="74"/>
  <c r="F81" i="74"/>
  <c r="F79" i="74"/>
  <c r="E95" i="74" l="1"/>
  <c r="E1052" i="93"/>
  <c r="F96" i="74"/>
  <c r="G88" i="74"/>
  <c r="G1044" i="93" s="1"/>
  <c r="G1045" i="93" s="1"/>
  <c r="H73" i="74"/>
  <c r="H80" i="74" s="1"/>
  <c r="G74" i="74"/>
  <c r="G79" i="74"/>
  <c r="G75" i="74"/>
  <c r="G81" i="74"/>
  <c r="F76" i="74"/>
  <c r="F82" i="74" s="1"/>
  <c r="F89" i="74" s="1"/>
  <c r="F95" i="74" l="1"/>
  <c r="F1052" i="93"/>
  <c r="G96" i="74"/>
  <c r="H88" i="74"/>
  <c r="H1044" i="93" s="1"/>
  <c r="H1045" i="93" s="1"/>
  <c r="G76" i="74"/>
  <c r="G82" i="74" s="1"/>
  <c r="G89" i="74" s="1"/>
  <c r="I73" i="74"/>
  <c r="I80" i="74" s="1"/>
  <c r="H81" i="74"/>
  <c r="H75" i="74"/>
  <c r="H74" i="74"/>
  <c r="H79" i="74"/>
  <c r="G95" i="74" l="1"/>
  <c r="G1052" i="93"/>
  <c r="H96" i="74"/>
  <c r="I88" i="74"/>
  <c r="I1044" i="93" s="1"/>
  <c r="I1045" i="93" s="1"/>
  <c r="J73" i="74"/>
  <c r="J80" i="74" s="1"/>
  <c r="I79" i="74"/>
  <c r="I74" i="74"/>
  <c r="I81" i="74"/>
  <c r="I75" i="74"/>
  <c r="H76" i="74"/>
  <c r="H82" i="74" s="1"/>
  <c r="H89" i="74" s="1"/>
  <c r="H95" i="74" l="1"/>
  <c r="H1052" i="93"/>
  <c r="I96" i="74"/>
  <c r="J88" i="74"/>
  <c r="J1044" i="93" s="1"/>
  <c r="J1045" i="93" s="1"/>
  <c r="I76" i="74"/>
  <c r="I82" i="74" s="1"/>
  <c r="I89" i="74" s="1"/>
  <c r="K73" i="74"/>
  <c r="K80" i="74" s="1"/>
  <c r="J79" i="74"/>
  <c r="J81" i="74"/>
  <c r="J75" i="74"/>
  <c r="J74" i="74"/>
  <c r="I95" i="74" l="1"/>
  <c r="I1052" i="93"/>
  <c r="J96" i="74"/>
  <c r="K88" i="74"/>
  <c r="K1044" i="93" s="1"/>
  <c r="K1045" i="93" s="1"/>
  <c r="J76" i="74"/>
  <c r="J82" i="74" s="1"/>
  <c r="J89" i="74" s="1"/>
  <c r="B101" i="74"/>
  <c r="B108" i="74" s="1"/>
  <c r="K74" i="74"/>
  <c r="K75" i="74"/>
  <c r="K81" i="74"/>
  <c r="K79" i="74"/>
  <c r="J95" i="74" l="1"/>
  <c r="J1052" i="93"/>
  <c r="K96" i="74"/>
  <c r="B116" i="74"/>
  <c r="B1072" i="93" s="1"/>
  <c r="B1073" i="93" s="1"/>
  <c r="K76" i="74"/>
  <c r="K82" i="74" s="1"/>
  <c r="K89" i="74" s="1"/>
  <c r="C101" i="74"/>
  <c r="C108" i="74" s="1"/>
  <c r="B109" i="74"/>
  <c r="B107" i="74"/>
  <c r="B102" i="74"/>
  <c r="B103" i="74"/>
  <c r="K95" i="74" l="1"/>
  <c r="K1052" i="93"/>
  <c r="B124" i="74"/>
  <c r="C116" i="74"/>
  <c r="C1072" i="93" s="1"/>
  <c r="C1073" i="93" s="1"/>
  <c r="D101" i="74"/>
  <c r="D108" i="74" s="1"/>
  <c r="C109" i="74"/>
  <c r="C107" i="74"/>
  <c r="C103" i="74"/>
  <c r="C102" i="74"/>
  <c r="B104" i="74"/>
  <c r="B110" i="74" s="1"/>
  <c r="B117" i="74" s="1"/>
  <c r="B123" i="74" l="1"/>
  <c r="B1080" i="93"/>
  <c r="C124" i="74"/>
  <c r="D116" i="74"/>
  <c r="D1072" i="93" s="1"/>
  <c r="D1073" i="93" s="1"/>
  <c r="C104" i="74"/>
  <c r="C110" i="74" s="1"/>
  <c r="C117" i="74" s="1"/>
  <c r="D107" i="74"/>
  <c r="D102" i="74"/>
  <c r="E101" i="74"/>
  <c r="E108" i="74" s="1"/>
  <c r="D103" i="74"/>
  <c r="D109" i="74"/>
  <c r="C123" i="74" l="1"/>
  <c r="C1080" i="93"/>
  <c r="D124" i="74"/>
  <c r="E116" i="74"/>
  <c r="E1072" i="93" s="1"/>
  <c r="E1073" i="93" s="1"/>
  <c r="D104" i="74"/>
  <c r="D110" i="74" s="1"/>
  <c r="D117" i="74" s="1"/>
  <c r="F101" i="74"/>
  <c r="F108" i="74" s="1"/>
  <c r="E102" i="74"/>
  <c r="E109" i="74"/>
  <c r="E103" i="74"/>
  <c r="E107" i="74"/>
  <c r="D123" i="74" l="1"/>
  <c r="D1080" i="93"/>
  <c r="E124" i="74"/>
  <c r="F116" i="74"/>
  <c r="F1072" i="93" s="1"/>
  <c r="F1073" i="93" s="1"/>
  <c r="E104" i="74"/>
  <c r="E110" i="74" s="1"/>
  <c r="E117" i="74" s="1"/>
  <c r="F109" i="74"/>
  <c r="F103" i="74"/>
  <c r="F102" i="74"/>
  <c r="F107" i="74"/>
  <c r="E123" i="74" l="1"/>
  <c r="E1080" i="93"/>
  <c r="F124" i="74"/>
  <c r="F1080" i="93" s="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<sst xmlns="http://schemas.openxmlformats.org/spreadsheetml/2006/main" count="13268" uniqueCount="4840">
  <si>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</si>
  <si>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</si>
  <si>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</si>
  <si>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</si>
  <si>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</si>
  <si>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</si>
  <si>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</si>
  <si>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</si>
  <si>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</si>
  <si>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</si>
  <si>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</si>
  <si>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</si>
  <si>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</si>
  <si>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</si>
  <si>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</si>
  <si>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</si>
  <si>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</si>
  <si>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</si>
  <si>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</si>
  <si>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</si>
  <si>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</si>
  <si>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</si>
  <si>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</si>
  <si>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</si>
  <si>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</si>
  <si>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</si>
  <si>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</si>
  <si>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</si>
  <si>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</si>
  <si>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</si>
  <si>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</si>
  <si>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</si>
  <si>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</si>
  <si>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</si>
  <si>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</si>
  <si>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</si>
  <si>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</si>
  <si>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</si>
  <si>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</si>
  <si>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</si>
  <si>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</si>
  <si>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</si>
  <si>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</si>
  <si>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</si>
  <si>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</si>
  <si>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</si>
  <si>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</si>
  <si>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</si>
  <si>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</si>
  <si>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</si>
  <si>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</si>
  <si>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</si>
  <si>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</si>
  <si>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</si>
  <si>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</si>
  <si>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</si>
  <si>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</si>
  <si>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</si>
  <si>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</si>
  <si>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</si>
  <si>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</si>
  <si>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</si>
  <si>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</si>
  <si>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</si>
  <si>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</si>
  <si>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</si>
  <si>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</si>
  <si>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</si>
  <si>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</si>
  <si>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</si>
  <si>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</si>
  <si>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</si>
  <si>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</si>
  <si>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</si>
  <si>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</si>
  <si>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</si>
  <si>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</si>
  <si>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</si>
  <si>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</si>
  <si>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</si>
  <si>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</si>
  <si>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</si>
  <si>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</si>
  <si>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</si>
  <si>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</si>
  <si>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</si>
  <si>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</si>
  <si>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</si>
  <si>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</si>
  <si>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</si>
  <si>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</si>
  <si>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</si>
  <si>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</si>
  <si>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</si>
  <si>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</si>
  <si>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</si>
  <si>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</si>
  <si>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</si>
  <si>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</si>
  <si>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</si>
  <si>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</si>
  <si>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</si>
  <si>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</si>
  <si>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</si>
  <si>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</si>
  <si>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</si>
  <si>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</si>
  <si>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</si>
  <si>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</si>
  <si>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</si>
  <si>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</si>
  <si>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</si>
  <si>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</si>
  <si>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</si>
  <si>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</si>
  <si>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</si>
  <si>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</si>
  <si>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</si>
  <si>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</si>
  <si>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</si>
  <si>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</si>
  <si>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</si>
  <si>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</si>
  <si>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</si>
  <si>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</si>
  <si>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</si>
  <si>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</si>
  <si>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</si>
  <si>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</si>
  <si>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</si>
  <si>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</si>
  <si>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</si>
  <si>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</si>
  <si>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</si>
  <si>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</si>
  <si>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</si>
  <si>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</si>
  <si>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</si>
  <si>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</si>
  <si>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</si>
  <si>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</si>
  <si>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</si>
  <si>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</si>
  <si>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</si>
  <si>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</si>
  <si>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</si>
  <si>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</si>
  <si>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</si>
  <si>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</si>
  <si>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</si>
  <si>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</si>
  <si>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</si>
  <si>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</si>
  <si>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</si>
  <si>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</si>
  <si>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</si>
  <si>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</si>
  <si>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</si>
  <si>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</si>
  <si>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</si>
  <si>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</si>
  <si>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</si>
  <si>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</si>
  <si>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</si>
  <si>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</si>
  <si>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</si>
  <si>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</si>
  <si>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</si>
  <si>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</si>
  <si>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</si>
  <si>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</si>
  <si>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</si>
  <si>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</si>
  <si>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</si>
  <si>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</si>
  <si>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</si>
  <si>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</si>
  <si>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</si>
  <si>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</si>
  <si>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</si>
  <si>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</si>
  <si>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</si>
  <si>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</si>
  <si>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</si>
  <si>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</si>
  <si>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</si>
  <si>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</si>
  <si>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</si>
  <si>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</si>
  <si>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</si>
  <si>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</si>
  <si>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</si>
  <si>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</si>
  <si>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</si>
  <si>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</si>
  <si>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</si>
  <si>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</si>
  <si>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</si>
  <si>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</si>
  <si>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</si>
  <si>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</si>
  <si>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</si>
  <si>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</si>
  <si>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</si>
  <si>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</si>
  <si>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</si>
  <si>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</si>
  <si>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</si>
  <si>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</si>
  <si>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</si>
  <si>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</si>
  <si>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</si>
  <si>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</si>
  <si>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</si>
  <si>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</si>
  <si>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</si>
  <si>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</si>
  <si>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</si>
  <si>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</si>
  <si>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</si>
  <si>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</si>
  <si>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</si>
  <si>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</si>
  <si>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</si>
  <si>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</si>
  <si>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</si>
  <si>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</si>
  <si>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</si>
  <si>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</si>
  <si>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</si>
  <si>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</si>
  <si>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</si>
  <si>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</si>
  <si>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</si>
  <si>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</si>
  <si>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</si>
  <si>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</si>
  <si>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</si>
  <si>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</si>
  <si>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</si>
  <si>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</si>
  <si>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</si>
  <si>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</si>
  <si>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</si>
  <si>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</si>
  <si>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</si>
  <si>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</si>
  <si>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</si>
  <si>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</si>
  <si>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</si>
  <si>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</si>
  <si>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</si>
  <si>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</si>
  <si>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</si>
  <si>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</si>
  <si>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</si>
  <si>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</si>
  <si>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</si>
  <si>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</si>
  <si>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</si>
  <si>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</si>
  <si>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</si>
  <si>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</si>
  <si>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</si>
  <si>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</si>
  <si>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</si>
  <si>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</si>
  <si>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</si>
  <si>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</si>
  <si>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</si>
  <si>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</si>
  <si>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</si>
  <si>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</si>
  <si>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</si>
  <si>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</si>
  <si>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</si>
  <si>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</si>
  <si>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</si>
  <si>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</si>
  <si>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</si>
  <si>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</si>
  <si>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</si>
  <si>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</si>
  <si>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</si>
  <si>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</si>
  <si>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</si>
  <si>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</si>
  <si>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</si>
  <si>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</si>
  <si>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</si>
  <si>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</si>
  <si>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</si>
  <si>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</si>
  <si>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</si>
  <si>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</si>
  <si>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</si>
  <si>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</si>
  <si>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</si>
  <si>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</si>
  <si>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</si>
  <si>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</si>
  <si>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</si>
  <si>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</si>
  <si>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</si>
  <si>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</si>
  <si>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</si>
  <si>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</si>
  <si>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</si>
  <si>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</si>
  <si>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</si>
  <si>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</si>
  <si>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</si>
  <si>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</si>
  <si>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</si>
  <si>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</si>
  <si>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</si>
  <si>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</si>
  <si>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</si>
  <si>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</si>
  <si>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</si>
  <si>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</si>
  <si>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</si>
  <si>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</si>
  <si>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</si>
  <si>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</si>
  <si>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</si>
  <si>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</si>
  <si>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</si>
  <si>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</si>
  <si>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</si>
  <si>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</si>
  <si>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</si>
  <si>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</si>
  <si>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</si>
  <si>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</si>
  <si>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</si>
  <si>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</si>
  <si>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</si>
  <si>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</si>
  <si>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</si>
  <si>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</si>
  <si>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</si>
  <si>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</si>
  <si>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</si>
  <si>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</si>
  <si>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</si>
  <si>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</si>
  <si>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</si>
  <si>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</si>
  <si>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</si>
  <si>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</si>
  <si>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</si>
  <si>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</si>
  <si>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</si>
  <si>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</si>
  <si>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</si>
  <si>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</si>
  <si>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</si>
  <si>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</si>
  <si>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</si>
  <si>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</si>
  <si>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</si>
  <si>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</si>
  <si>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</si>
  <si>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</si>
  <si>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</si>
  <si>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</si>
  <si>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</si>
  <si>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</si>
  <si>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</si>
  <si>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</si>
  <si>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</si>
  <si>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</si>
  <si>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</si>
  <si>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</si>
  <si>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</si>
  <si>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</si>
  <si>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</si>
  <si>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</si>
  <si>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</si>
  <si>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</si>
  <si>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</si>
  <si>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</si>
  <si>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</si>
  <si>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</si>
  <si>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</si>
  <si>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</si>
  <si>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</si>
  <si>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</si>
  <si>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</si>
  <si>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</si>
  <si>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</si>
  <si>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</si>
  <si>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</si>
  <si>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</si>
  <si>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</si>
  <si>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</si>
  <si>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</si>
  <si>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</si>
  <si>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</si>
  <si>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</si>
  <si>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</si>
  <si>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</si>
  <si>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</si>
  <si>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</si>
  <si>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</si>
  <si>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</si>
  <si>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</si>
  <si>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</si>
  <si>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</si>
  <si>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</si>
  <si>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</si>
  <si>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</si>
  <si>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</si>
  <si>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</si>
  <si>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</si>
  <si>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</si>
  <si>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</si>
  <si>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</si>
  <si>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</si>
  <si>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</si>
  <si>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</si>
  <si>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</si>
  <si>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</si>
  <si>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</si>
  <si>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</si>
  <si>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</si>
  <si>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</si>
  <si>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</si>
  <si>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</si>
  <si>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</si>
  <si>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</si>
  <si>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</si>
  <si>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</si>
  <si>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</si>
  <si>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</si>
  <si>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</si>
  <si>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</si>
  <si>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</si>
  <si>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</si>
  <si>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</si>
  <si>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</si>
  <si>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</si>
  <si>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</si>
  <si>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</si>
  <si>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</si>
  <si>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</si>
  <si>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</si>
  <si>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</si>
  <si>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</si>
  <si>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</si>
  <si>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</si>
  <si>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</si>
  <si>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</si>
  <si>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</si>
  <si>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</si>
  <si>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</si>
  <si>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</si>
  <si>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</si>
  <si>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</si>
  <si>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</si>
  <si>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</si>
  <si>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</si>
  <si>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</si>
  <si>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</si>
  <si>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</si>
  <si>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</si>
  <si>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</si>
  <si>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</si>
  <si>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</si>
  <si>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</si>
  <si>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</si>
  <si>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</si>
  <si>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</si>
  <si>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</si>
  <si>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</si>
  <si>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</si>
  <si>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</si>
  <si>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</si>
  <si>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</si>
  <si>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</si>
  <si>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</si>
  <si>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</si>
  <si>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</si>
  <si>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</si>
  <si>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</si>
  <si>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</si>
  <si>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</si>
  <si>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</si>
  <si>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</si>
  <si>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</si>
  <si>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</si>
  <si>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</si>
  <si>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</si>
  <si>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</si>
  <si>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</si>
  <si>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</si>
  <si>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</si>
  <si>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</si>
  <si>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</si>
  <si>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</si>
  <si>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</si>
  <si>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</si>
  <si>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</si>
  <si>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</si>
  <si>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</si>
  <si>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</si>
  <si>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</si>
  <si>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</si>
  <si>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</si>
  <si>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</si>
  <si>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</si>
  <si>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</si>
  <si>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</si>
  <si>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</si>
  <si>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</si>
  <si>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</si>
  <si>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</si>
  <si>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</si>
  <si>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</si>
  <si>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</si>
  <si>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</si>
  <si>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</si>
  <si>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</si>
  <si>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</si>
  <si>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</si>
  <si>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</si>
  <si>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</si>
  <si>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</si>
  <si>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</si>
  <si>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</si>
  <si>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</si>
  <si>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</si>
  <si>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</si>
  <si>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</si>
  <si>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</si>
  <si>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</si>
  <si>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</si>
  <si>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</si>
  <si>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</si>
  <si>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</si>
  <si>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</si>
  <si>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</si>
  <si>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</si>
  <si>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</si>
  <si>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</si>
  <si>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</si>
  <si>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</si>
  <si>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</si>
  <si>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</si>
  <si>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</si>
  <si>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</si>
  <si>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</si>
  <si>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</si>
  <si>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</si>
  <si>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</si>
  <si>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</si>
  <si>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</si>
  <si>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</si>
  <si>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</si>
  <si>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</si>
  <si>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</si>
  <si>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</si>
  <si>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</si>
  <si>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</si>
  <si>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</si>
  <si>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</si>
  <si>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</si>
  <si>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</si>
  <si>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</si>
  <si>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</si>
  <si>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</si>
  <si>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</si>
  <si>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</si>
  <si>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</si>
  <si>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</si>
  <si>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</si>
  <si>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</si>
  <si>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</si>
  <si>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</si>
  <si>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</si>
  <si>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</si>
  <si>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</si>
  <si>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</si>
  <si>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</si>
  <si>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</si>
  <si>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</si>
  <si>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</si>
  <si>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</si>
  <si>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</si>
  <si>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</si>
  <si>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</si>
  <si>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</si>
  <si>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</si>
  <si>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</si>
  <si>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</si>
  <si>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</si>
  <si>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</si>
  <si>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</si>
  <si>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</si>
  <si>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</si>
  <si>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</si>
  <si>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</si>
  <si>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</si>
  <si>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</si>
  <si>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</si>
  <si>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</si>
  <si>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</si>
  <si>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</si>
  <si>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</si>
  <si>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</si>
  <si>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</si>
  <si>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</si>
  <si>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</si>
  <si>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</si>
  <si>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</si>
  <si>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</si>
  <si>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</si>
  <si>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</si>
  <si>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</si>
  <si>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</si>
  <si>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</si>
  <si>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</si>
  <si>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</si>
  <si>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</si>
  <si>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</si>
  <si>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</si>
  <si>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</si>
  <si>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</si>
  <si>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</si>
  <si>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</si>
  <si>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</si>
  <si>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</si>
  <si>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</si>
  <si>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</si>
  <si>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</si>
  <si>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</si>
  <si>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</si>
  <si>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</si>
  <si>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</si>
  <si>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</si>
  <si>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</si>
  <si>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</si>
  <si>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</si>
  <si>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</si>
  <si>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</si>
  <si>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</si>
  <si>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</si>
  <si>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</si>
  <si>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</si>
  <si>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</si>
  <si>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</si>
  <si>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</si>
  <si>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</si>
  <si>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</si>
  <si>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</si>
  <si>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</si>
  <si>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</si>
  <si>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</si>
  <si>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</si>
  <si>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</si>
  <si>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</si>
  <si>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</si>
  <si>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</si>
  <si>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</si>
  <si>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</si>
  <si>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</si>
  <si>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</si>
  <si>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</si>
  <si>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</si>
  <si>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</si>
  <si>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</si>
  <si>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</si>
  <si>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</si>
  <si>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</si>
  <si>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</si>
  <si>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</si>
  <si>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</si>
  <si>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</si>
  <si>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</si>
  <si>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</si>
  <si>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</si>
  <si>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</si>
  <si>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</si>
  <si>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</si>
  <si>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</si>
  <si>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</si>
  <si>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</si>
  <si>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</si>
  <si>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</si>
  <si>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</si>
  <si>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</si>
  <si>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</si>
  <si>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</si>
  <si>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</si>
  <si>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</si>
  <si>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</si>
  <si>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</si>
  <si>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</si>
  <si>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</si>
  <si>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</si>
  <si>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</si>
  <si>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</si>
  <si>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</si>
  <si>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</si>
  <si>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</si>
  <si>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</si>
  <si>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</si>
  <si>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</si>
  <si>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</si>
  <si>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</si>
  <si>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</si>
  <si>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</si>
  <si>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</si>
  <si>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</si>
  <si>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</si>
  <si>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</si>
  <si>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</si>
  <si>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</si>
  <si>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</si>
  <si>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</si>
  <si>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</si>
  <si>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</si>
  <si>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</si>
  <si>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</si>
  <si>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</si>
  <si>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</si>
  <si>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</si>
  <si>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</si>
  <si>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</si>
  <si>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</si>
  <si>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</si>
  <si>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</si>
  <si>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</si>
  <si>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</si>
  <si>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</si>
  <si>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</si>
  <si>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</si>
  <si>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</si>
  <si>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</si>
  <si>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</si>
  <si>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</si>
  <si>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</si>
  <si>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</si>
  <si>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</si>
  <si>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</si>
  <si>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</si>
  <si>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</si>
  <si>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</si>
  <si>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</si>
  <si>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</si>
  <si>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</si>
  <si>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</si>
  <si>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</si>
  <si>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</si>
  <si>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</si>
  <si>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</si>
  <si>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</si>
  <si>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</si>
  <si>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</si>
  <si>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</si>
  <si>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</si>
  <si>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</si>
  <si>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</si>
  <si>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</si>
  <si>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</si>
  <si>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</si>
  <si>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</si>
  <si>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</si>
  <si>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</si>
  <si>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</si>
  <si>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</si>
  <si>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</si>
  <si>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</si>
  <si>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</si>
  <si>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</si>
  <si>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</si>
  <si>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</si>
  <si>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</si>
  <si>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</si>
  <si>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</si>
  <si>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</si>
  <si>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</si>
  <si>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</si>
  <si>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</si>
  <si>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</si>
  <si>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</si>
  <si>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</si>
  <si>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</si>
  <si>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</si>
  <si>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</si>
  <si>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</si>
  <si>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</si>
  <si>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</si>
  <si>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</si>
  <si>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</si>
  <si>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</si>
  <si>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</si>
  <si>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</si>
  <si>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</si>
  <si>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</si>
  <si>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</si>
  <si>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</si>
  <si>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</si>
  <si>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</si>
  <si>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</si>
  <si>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</si>
  <si>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</si>
  <si>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</si>
  <si>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</si>
  <si>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</si>
  <si>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</si>
  <si>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</si>
  <si>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</si>
  <si>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</si>
  <si>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</si>
  <si>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</si>
  <si>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</si>
  <si>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</si>
  <si>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</si>
  <si>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</si>
  <si>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</si>
  <si>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</si>
  <si>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</si>
  <si>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</si>
  <si>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</si>
  <si>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</si>
  <si>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</si>
  <si>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</si>
  <si>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</si>
  <si>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</si>
  <si>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</si>
  <si>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</si>
  <si>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</si>
  <si>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</si>
  <si>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</si>
  <si>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</si>
  <si>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</si>
  <si>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</si>
  <si>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</si>
  <si>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</si>
  <si>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</si>
  <si>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</si>
  <si>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</si>
  <si>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</si>
  <si>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</si>
  <si>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</si>
  <si>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</si>
  <si>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</si>
  <si>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</si>
  <si>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</si>
  <si>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</si>
  <si>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</si>
  <si>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</si>
  <si>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</si>
  <si>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</si>
  <si>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</si>
  <si>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</si>
  <si>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</si>
  <si>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</si>
  <si>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</si>
  <si>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</si>
  <si>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</si>
  <si>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</si>
  <si>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</si>
  <si>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</si>
  <si>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</si>
  <si>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</si>
  <si>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</si>
  <si>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</si>
  <si>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</si>
  <si>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</si>
  <si>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</si>
  <si>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</si>
  <si>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</si>
  <si>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</si>
  <si>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</si>
  <si>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</si>
  <si>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</si>
  <si>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</si>
  <si>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</si>
  <si>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</si>
  <si>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</si>
  <si>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</si>
  <si>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</si>
  <si>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</si>
  <si>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</si>
  <si>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</si>
  <si>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</si>
  <si>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</si>
  <si>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</si>
  <si>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</si>
  <si>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</si>
  <si>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</si>
  <si>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</si>
  <si>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</si>
  <si>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</si>
  <si>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</si>
  <si>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</si>
  <si>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</si>
  <si>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</si>
  <si>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</si>
  <si>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</si>
  <si>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</si>
  <si>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</si>
  <si>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</si>
  <si>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</si>
  <si>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</si>
  <si>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</si>
  <si>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</si>
  <si>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</si>
  <si>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</si>
  <si>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</si>
  <si>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</si>
  <si>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</si>
  <si>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</si>
  <si>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</si>
  <si>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</si>
  <si>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</si>
  <si>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</si>
  <si>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</si>
  <si>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</si>
  <si>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</si>
  <si>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</si>
  <si>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</si>
  <si>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</si>
  <si>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</si>
  <si>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</si>
  <si>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</si>
  <si>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</si>
  <si>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</si>
  <si>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</si>
  <si>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</si>
  <si>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</si>
  <si>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</si>
  <si>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</si>
  <si>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</si>
  <si>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</si>
  <si>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</si>
  <si>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</si>
  <si>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</si>
  <si>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</si>
  <si>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</si>
  <si>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</si>
  <si>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</si>
  <si>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</si>
  <si>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</si>
  <si>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</si>
  <si>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</si>
  <si>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</si>
  <si>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</si>
  <si>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</si>
  <si>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</si>
  <si>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</si>
  <si>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</si>
  <si>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</si>
  <si>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</si>
  <si>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</si>
  <si>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</si>
  <si>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</si>
  <si>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</si>
  <si>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</si>
  <si>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</si>
  <si>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</si>
  <si>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</si>
  <si>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</si>
  <si>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</si>
  <si>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</si>
  <si>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</si>
  <si>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</si>
  <si>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</si>
  <si>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</si>
  <si>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</si>
  <si>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</si>
  <si>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</si>
  <si>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</si>
  <si>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</si>
  <si>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</si>
  <si>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</si>
  <si>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</si>
  <si>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</si>
  <si>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</si>
  <si>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</si>
  <si>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</si>
  <si>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</si>
  <si>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</si>
  <si>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</si>
  <si>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</si>
  <si>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</si>
  <si>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</si>
  <si>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</si>
  <si>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</si>
  <si>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</si>
  <si>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</si>
  <si>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</si>
  <si>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</si>
  <si>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</si>
  <si>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</si>
  <si>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</si>
  <si>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</si>
  <si>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</si>
  <si>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</si>
  <si>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</si>
  <si>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</si>
  <si>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</si>
  <si>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</si>
  <si>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</si>
  <si>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</si>
  <si>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</si>
  <si>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</si>
  <si>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</si>
  <si>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</si>
  <si>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</si>
  <si>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</si>
  <si>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</si>
  <si>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</si>
  <si>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</si>
  <si>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</si>
  <si>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</si>
  <si>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</si>
  <si>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</si>
  <si>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</si>
  <si>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</si>
  <si>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</si>
  <si>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</si>
  <si>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</si>
  <si>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</si>
  <si>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</si>
  <si>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</si>
  <si>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</si>
  <si>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</si>
  <si>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</si>
  <si>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</si>
  <si>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</si>
  <si>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</si>
  <si>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</si>
  <si>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</si>
  <si>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</si>
  <si>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</si>
  <si>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</si>
  <si>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</si>
  <si>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</si>
  <si>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</si>
  <si>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</si>
  <si>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</si>
  <si>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</si>
  <si>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</si>
  <si>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</si>
  <si>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</si>
  <si>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</si>
  <si>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</si>
  <si>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</si>
  <si>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</si>
  <si>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</si>
  <si>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</si>
  <si>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</si>
  <si>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</si>
  <si>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</si>
  <si>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</si>
  <si>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</si>
  <si>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</si>
  <si>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</si>
  <si>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</si>
  <si>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</si>
  <si>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</si>
  <si>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</si>
  <si>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</si>
  <si>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</si>
  <si>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</si>
  <si>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</si>
  <si>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</si>
  <si>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</si>
  <si>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</si>
  <si>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</si>
  <si>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</si>
  <si>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</si>
  <si>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</si>
  <si>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</si>
  <si>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</si>
  <si>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</si>
  <si>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</si>
  <si>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</si>
  <si>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</si>
  <si>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</si>
  <si>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</si>
  <si>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</si>
  <si>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</si>
  <si>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</si>
  <si>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</si>
  <si>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</si>
  <si>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</si>
  <si>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</si>
  <si>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</si>
  <si>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</si>
  <si>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</si>
  <si>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</si>
  <si>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</si>
  <si>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</si>
  <si>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</si>
  <si>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</si>
  <si>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</si>
  <si>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</si>
  <si>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</si>
  <si>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</si>
  <si>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</si>
  <si>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</si>
  <si>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</si>
  <si>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</si>
  <si>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</si>
  <si>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</si>
  <si>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</si>
  <si>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</si>
  <si>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</si>
  <si>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</si>
  <si>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</si>
  <si>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</si>
  <si>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</si>
  <si>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</si>
  <si>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</si>
  <si>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</si>
  <si>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</si>
  <si>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</si>
  <si>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</si>
  <si>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</si>
  <si>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</si>
  <si>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</si>
  <si>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</si>
  <si>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</si>
  <si>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</si>
  <si>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</si>
  <si>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</si>
  <si>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</si>
  <si>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</si>
  <si>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</si>
  <si>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</si>
  <si>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</si>
  <si>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</si>
  <si>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</si>
  <si>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</si>
  <si>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</si>
  <si>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</si>
  <si>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</si>
  <si>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</si>
  <si>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</si>
  <si>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</si>
  <si>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</si>
  <si>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</si>
  <si>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</si>
  <si>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</si>
  <si>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</si>
  <si>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</si>
  <si>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</si>
  <si>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</si>
  <si>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</si>
  <si>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</si>
  <si>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</si>
  <si>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</si>
  <si>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</si>
  <si>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</si>
  <si>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</si>
  <si>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</si>
  <si>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</si>
  <si>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</si>
  <si>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</si>
  <si>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</si>
  <si>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</si>
  <si>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</si>
  <si>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</si>
  <si>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</si>
  <si>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</si>
  <si>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</si>
  <si>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</si>
  <si>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</si>
  <si>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</si>
  <si>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</si>
  <si>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</si>
  <si>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</si>
  <si>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</si>
  <si>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</si>
  <si>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</si>
  <si>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</si>
  <si>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</si>
  <si>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</si>
  <si>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</si>
  <si>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</si>
  <si>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</si>
  <si>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</si>
  <si>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</si>
  <si>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</si>
  <si>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</si>
  <si>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</si>
  <si>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</si>
  <si>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</si>
  <si>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</si>
  <si>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</si>
  <si>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</si>
  <si>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</si>
  <si>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</si>
  <si>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</si>
  <si>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</si>
  <si>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</si>
  <si>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</si>
  <si>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</si>
  <si>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</si>
  <si>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</si>
  <si>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</si>
  <si>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</si>
  <si>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</si>
  <si>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</si>
  <si>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</si>
  <si>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</si>
  <si>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</si>
  <si>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</si>
  <si>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</si>
  <si>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</si>
  <si>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</si>
  <si>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</si>
  <si>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</si>
  <si>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</si>
  <si>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</si>
  <si>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</si>
  <si>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</si>
  <si>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</si>
  <si>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</si>
  <si>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</si>
  <si>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</si>
  <si>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</si>
  <si>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</si>
  <si>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</si>
  <si>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</si>
  <si>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</si>
  <si>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</si>
  <si>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</si>
  <si>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</si>
  <si>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</si>
  <si>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</si>
  <si>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</si>
  <si>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</si>
  <si>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</si>
  <si>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</si>
  <si>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</si>
  <si>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</si>
  <si>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</si>
  <si>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</si>
  <si>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</si>
  <si>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</si>
  <si>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</si>
  <si>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</si>
  <si>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</si>
  <si>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</si>
  <si>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</si>
  <si>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</si>
  <si>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</si>
  <si>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</si>
  <si>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</si>
  <si>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</si>
  <si>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</si>
  <si>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</si>
  <si>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</si>
  <si>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</si>
  <si>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</si>
  <si>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</si>
  <si>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</si>
  <si>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</si>
  <si>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</si>
  <si>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</si>
  <si>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</si>
  <si>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</si>
  <si>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</si>
  <si>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</si>
  <si>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</si>
  <si>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</si>
  <si>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</si>
  <si>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</si>
  <si>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</si>
  <si>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</si>
  <si>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</si>
  <si>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</si>
  <si>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</si>
  <si>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</si>
  <si>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</si>
  <si>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</si>
  <si>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</si>
  <si>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</si>
  <si>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</si>
  <si>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</si>
  <si>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</si>
  <si>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</si>
  <si>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</si>
  <si>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</si>
  <si>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</si>
  <si>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</si>
  <si>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</si>
  <si>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</si>
  <si>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</si>
  <si>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</si>
  <si>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</si>
  <si>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</si>
  <si>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</si>
  <si>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</si>
  <si>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</si>
  <si>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</si>
  <si>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</si>
  <si>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</si>
  <si>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</si>
  <si>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</si>
  <si>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</si>
  <si>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</si>
  <si>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</si>
  <si>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</si>
  <si>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</si>
  <si>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</si>
  <si>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</si>
  <si>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</si>
  <si>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</si>
  <si>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</si>
  <si>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</si>
  <si>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</si>
  <si>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</si>
  <si>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</si>
  <si>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</si>
  <si>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</si>
  <si>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</si>
  <si>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</si>
  <si>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</si>
  <si>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</si>
  <si>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</si>
  <si>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</si>
  <si>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</si>
  <si>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</si>
  <si>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</si>
  <si>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</si>
  <si>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</si>
  <si>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</si>
  <si>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</si>
  <si>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</si>
  <si>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</si>
  <si>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</si>
  <si>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</si>
  <si>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</si>
  <si>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</si>
  <si>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</si>
  <si>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</si>
  <si>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</si>
  <si>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</si>
  <si>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</si>
  <si>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</si>
  <si>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</si>
  <si>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</si>
  <si>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</si>
  <si>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</si>
  <si>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</si>
  <si>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</si>
  <si>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</si>
  <si>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</si>
  <si>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</si>
  <si>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</si>
  <si>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</si>
  <si>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</si>
  <si>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</si>
  <si>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</si>
  <si>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</si>
  <si>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</si>
  <si>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</si>
  <si>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</si>
  <si>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</si>
  <si>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</si>
  <si>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</si>
  <si>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</si>
  <si>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</si>
  <si>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</si>
  <si>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</si>
  <si>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</si>
  <si>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</si>
  <si>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</si>
  <si>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</si>
  <si>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</si>
  <si>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</si>
  <si>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</si>
  <si>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</si>
  <si>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</si>
  <si>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</si>
  <si>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</si>
  <si>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</si>
  <si>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</si>
  <si>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</si>
  <si>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</si>
  <si>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</si>
  <si>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</si>
  <si>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</si>
  <si>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</si>
  <si>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</si>
  <si>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</si>
  <si>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</si>
  <si>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</si>
  <si>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</si>
  <si>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</si>
  <si>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</si>
  <si>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</si>
  <si>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</si>
  <si>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</si>
  <si>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</si>
  <si>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</si>
  <si>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</si>
  <si>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</si>
  <si>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</si>
  <si>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</si>
  <si>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</si>
  <si>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</si>
  <si>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</si>
  <si>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</si>
  <si>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</si>
  <si>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</si>
  <si>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</si>
  <si>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</si>
  <si>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</si>
  <si>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</si>
  <si>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</si>
  <si>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</si>
  <si>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</si>
  <si>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</si>
  <si>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</si>
  <si>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</si>
  <si>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</si>
  <si>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</si>
  <si>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</si>
  <si>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</si>
  <si>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</si>
  <si>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</si>
  <si>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</si>
  <si>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</si>
  <si>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</si>
  <si>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</si>
  <si>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</si>
  <si>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</si>
  <si>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</si>
  <si>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</si>
  <si>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</si>
  <si>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</si>
  <si>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</si>
  <si>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</si>
  <si>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</si>
  <si>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</si>
  <si>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</si>
  <si>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</si>
  <si>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</si>
  <si>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</si>
  <si>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</si>
  <si>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</si>
  <si>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</si>
  <si>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</si>
  <si>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</si>
  <si>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</si>
  <si>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</si>
  <si>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</si>
  <si>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</si>
  <si>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</si>
  <si>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</si>
  <si>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</si>
  <si>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</si>
  <si>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</si>
  <si>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</si>
  <si>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</si>
  <si>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</si>
  <si>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</si>
  <si>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</si>
  <si>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</si>
  <si>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</si>
  <si>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</si>
  <si>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</si>
  <si>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</si>
  <si>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</si>
  <si>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</si>
  <si>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</si>
  <si>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</si>
  <si>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</si>
  <si>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</si>
  <si>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</si>
  <si>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</si>
  <si>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</si>
  <si>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</si>
  <si>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</si>
  <si>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</si>
  <si>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</si>
  <si>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</si>
  <si>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</si>
  <si>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</si>
  <si>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</si>
  <si>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</si>
  <si>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</si>
  <si>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</si>
  <si>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</si>
  <si>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</si>
  <si>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</si>
  <si>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</si>
  <si>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</si>
  <si>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</si>
  <si>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</si>
  <si>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</si>
  <si>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</si>
  <si>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</si>
  <si>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</si>
  <si>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</si>
  <si>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</si>
  <si>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</si>
  <si>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</si>
  <si>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</si>
  <si>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</si>
  <si>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</si>
  <si>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</si>
  <si>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</si>
  <si>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</si>
  <si>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</si>
  <si>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</si>
  <si>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</si>
  <si>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</si>
  <si>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</si>
  <si>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</si>
  <si>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</si>
  <si>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</si>
  <si>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</si>
  <si>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</si>
  <si>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</si>
  <si>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</si>
  <si>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</si>
  <si>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</si>
  <si>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</si>
  <si>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</si>
  <si>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</si>
  <si>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</si>
  <si>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</si>
  <si>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</si>
  <si>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</si>
  <si>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</si>
  <si>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</si>
  <si>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</si>
  <si>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</si>
  <si>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</si>
  <si>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</si>
  <si>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</si>
  <si>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</si>
  <si>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</si>
  <si>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</si>
  <si>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</si>
  <si>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</si>
  <si>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</si>
  <si>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</si>
  <si>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</si>
  <si>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</si>
  <si>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</si>
  <si>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</si>
  <si>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</si>
  <si>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</si>
  <si>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</si>
  <si>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</si>
  <si>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</si>
  <si>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</si>
  <si>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</si>
  <si>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</si>
  <si>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</si>
  <si>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</si>
  <si>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</si>
  <si>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</si>
  <si>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</si>
  <si>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</si>
  <si>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</si>
  <si>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</si>
  <si>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</si>
  <si>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</si>
  <si>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</si>
  <si>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</si>
  <si>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</si>
  <si>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</si>
  <si>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</si>
  <si>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</si>
  <si>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</si>
  <si>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</si>
  <si>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</si>
  <si>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</si>
  <si>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</si>
  <si>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</si>
  <si>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</si>
  <si>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</si>
  <si>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</si>
  <si>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</si>
  <si>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</si>
  <si>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</si>
  <si>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</si>
  <si>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</si>
  <si>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</si>
  <si>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</si>
  <si>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</si>
  <si>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</si>
  <si>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</si>
  <si>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</si>
  <si>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</si>
  <si>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</si>
  <si>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</si>
  <si>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</si>
  <si>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</si>
  <si>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</si>
  <si>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</si>
  <si>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</si>
  <si>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</si>
  <si>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</si>
  <si>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</si>
  <si>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</si>
  <si>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</si>
  <si>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</si>
  <si>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</si>
  <si>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</si>
  <si>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</si>
  <si>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</si>
  <si>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</si>
  <si>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</si>
  <si>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</si>
  <si>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</si>
  <si>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</si>
  <si>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</si>
  <si>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</si>
  <si>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</si>
  <si>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</si>
  <si>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</si>
  <si>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</si>
  <si>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</si>
  <si>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</si>
  <si>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</si>
  <si>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</si>
  <si>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</si>
  <si>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</si>
  <si>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</si>
  <si>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</si>
  <si>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</si>
  <si>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</si>
  <si>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</si>
  <si>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</si>
  <si>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</si>
  <si>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</si>
  <si>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</si>
  <si>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</si>
  <si>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</si>
  <si>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</si>
  <si>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</si>
  <si>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</si>
  <si>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</si>
  <si>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</si>
  <si>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</si>
  <si>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</si>
  <si>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</si>
  <si>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</si>
  <si>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</si>
  <si>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</si>
  <si>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</si>
  <si>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</si>
  <si>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</si>
  <si>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</si>
  <si>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</si>
  <si>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</si>
  <si>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</si>
  <si>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</si>
  <si>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</si>
  <si>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</si>
  <si>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</si>
  <si>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</si>
  <si>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</si>
  <si>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</si>
  <si>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</si>
  <si>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</si>
  <si>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</si>
  <si>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</si>
  <si>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</si>
  <si>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</si>
  <si>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</si>
  <si>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</si>
  <si>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</si>
  <si>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</si>
  <si>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</si>
  <si>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</si>
  <si>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</si>
  <si>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</si>
  <si>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</si>
  <si>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</si>
  <si>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</si>
  <si>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</si>
  <si>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</si>
  <si>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</si>
  <si>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</si>
  <si>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</si>
  <si>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</si>
  <si>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</si>
  <si>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</si>
  <si>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</si>
  <si>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</si>
  <si>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</si>
  <si>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</si>
  <si>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</si>
  <si>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</si>
  <si>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</si>
  <si>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</si>
  <si>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</si>
  <si>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</si>
  <si>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</si>
  <si>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</si>
  <si>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</si>
  <si>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</si>
  <si>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</si>
  <si>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</si>
  <si>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</si>
  <si>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</si>
  <si>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</si>
  <si>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</si>
  <si>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</si>
  <si>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</si>
  <si>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</si>
  <si>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</si>
  <si>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</si>
  <si>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</si>
  <si>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</si>
  <si>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</si>
  <si>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</si>
  <si>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</si>
  <si>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</si>
  <si>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</si>
  <si>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</si>
  <si>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</si>
  <si>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</si>
  <si>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</si>
  <si>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</si>
  <si>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</si>
  <si>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</si>
  <si>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</si>
  <si>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</si>
  <si>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</si>
  <si>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</si>
  <si>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</si>
  <si>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</si>
  <si>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</si>
  <si>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</si>
  <si>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</si>
  <si>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</si>
  <si>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</si>
  <si>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</si>
  <si>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</si>
  <si>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</si>
  <si>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</si>
  <si>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</si>
  <si>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</si>
  <si>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</si>
  <si>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</si>
  <si>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</si>
  <si>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</si>
  <si>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</si>
  <si>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</si>
  <si>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</si>
  <si>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</si>
  <si>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</si>
  <si>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</si>
  <si>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</si>
  <si>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</si>
  <si>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</si>
  <si>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</si>
  <si>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</si>
  <si>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</si>
  <si>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</si>
  <si>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</si>
  <si>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</si>
  <si>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</si>
  <si>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</si>
  <si>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</si>
  <si>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</si>
  <si>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</si>
  <si>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</si>
  <si>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</si>
  <si>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</si>
  <si>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</si>
  <si>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</si>
  <si>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</si>
  <si>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</si>
  <si>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</si>
  <si>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</si>
  <si>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</si>
  <si>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</si>
  <si>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</si>
  <si>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</si>
  <si>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</si>
  <si>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</si>
  <si>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</si>
  <si>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</si>
  <si>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</si>
  <si>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</si>
  <si>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</si>
  <si>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</si>
  <si>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</si>
  <si>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</si>
  <si>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</si>
  <si>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</si>
  <si>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</si>
  <si>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</si>
  <si>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</si>
  <si>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</si>
  <si>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</si>
  <si>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</si>
  <si>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</si>
  <si>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</si>
  <si>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</si>
  <si>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</si>
  <si>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</si>
  <si>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</si>
  <si>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</si>
  <si>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</si>
  <si>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</si>
  <si>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</si>
  <si>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</si>
  <si>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</si>
  <si>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</si>
  <si>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</si>
  <si>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</si>
  <si>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</si>
  <si>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</si>
  <si>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</si>
  <si>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</si>
  <si>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</si>
  <si>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</si>
  <si>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</si>
  <si>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</si>
  <si>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</si>
  <si>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</si>
  <si>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</si>
  <si>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</si>
  <si>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</si>
  <si>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</si>
  <si>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</si>
  <si>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</si>
  <si>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</si>
  <si>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</si>
  <si>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</si>
  <si>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</si>
  <si>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</si>
  <si>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</si>
  <si>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</si>
  <si>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</si>
  <si>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</si>
  <si>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</si>
  <si>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</si>
  <si>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</si>
  <si>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</si>
  <si>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</si>
  <si>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</si>
  <si>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</si>
  <si>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</si>
  <si>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</si>
  <si>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</si>
  <si>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</si>
  <si>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</si>
  <si>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</si>
  <si>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</si>
  <si>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</si>
  <si>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</si>
  <si>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</si>
  <si>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</si>
  <si>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</si>
  <si>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</si>
  <si>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</si>
  <si>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</si>
  <si>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</si>
  <si>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</si>
  <si>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</si>
  <si>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</si>
  <si>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</si>
  <si>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</si>
  <si>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</si>
  <si>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</si>
  <si>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</si>
  <si>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</si>
  <si>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</si>
  <si>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</si>
  <si>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</si>
  <si>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</si>
  <si>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</si>
  <si>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</si>
  <si>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</si>
  <si>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</si>
  <si>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</si>
  <si>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</si>
  <si>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</si>
  <si>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</si>
  <si>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</si>
  <si>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</si>
  <si>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</si>
  <si>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</si>
  <si>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</si>
  <si>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</si>
  <si>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</si>
  <si>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</si>
  <si>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</si>
  <si>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</si>
  <si>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</si>
  <si>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</si>
  <si>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</si>
  <si>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</si>
  <si>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</si>
  <si>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</si>
  <si>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</si>
  <si>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</si>
  <si>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</si>
  <si>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</si>
  <si>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</si>
  <si>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</si>
  <si>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</si>
  <si>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</si>
  <si>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</si>
  <si>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</si>
  <si>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</si>
  <si>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</si>
  <si>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</si>
  <si>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</si>
  <si>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</si>
  <si>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</si>
  <si>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</si>
  <si>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</si>
  <si>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</si>
  <si>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</si>
  <si>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</si>
  <si>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</si>
  <si>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</si>
  <si>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</si>
  <si>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</si>
  <si>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</si>
  <si>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</si>
  <si>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</si>
  <si>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</si>
  <si>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</si>
  <si>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</si>
  <si>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</si>
  <si>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</si>
  <si>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</si>
  <si>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</si>
  <si>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</si>
  <si>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</si>
  <si>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</si>
  <si>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</si>
  <si>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</si>
  <si>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</si>
  <si>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</si>
  <si>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</si>
  <si>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</si>
  <si>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</si>
  <si>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</si>
  <si>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</si>
  <si>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</si>
  <si>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</si>
  <si>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</si>
  <si>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</si>
  <si>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</si>
  <si>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</si>
  <si>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</si>
  <si>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</si>
  <si>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</si>
  <si>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</si>
  <si>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</si>
  <si>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</si>
  <si>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</si>
  <si>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</si>
  <si>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</si>
  <si>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</si>
  <si>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</si>
  <si>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</si>
  <si>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</si>
  <si>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</si>
  <si>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</si>
  <si>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</si>
  <si>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</si>
  <si>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</si>
  <si>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</si>
  <si>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</si>
  <si>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</si>
  <si>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</si>
  <si>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</si>
  <si>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</si>
  <si>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</si>
  <si>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</si>
  <si>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</si>
  <si>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</si>
  <si>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</si>
  <si>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</si>
  <si>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</si>
  <si>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</si>
  <si>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</si>
  <si>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</si>
  <si>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</si>
  <si>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</si>
  <si>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</si>
  <si>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</si>
  <si>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</si>
  <si>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</si>
  <si>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</si>
  <si>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</si>
  <si>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</si>
  <si>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</si>
  <si>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</si>
  <si>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</si>
  <si>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</si>
  <si>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</si>
  <si>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</si>
  <si>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</si>
  <si>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</si>
  <si>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</si>
  <si>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</si>
  <si>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</si>
  <si>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</si>
  <si>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</si>
  <si>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</si>
  <si>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</si>
  <si>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</si>
  <si>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</si>
  <si>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</si>
  <si>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</si>
  <si>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</si>
  <si>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</si>
  <si>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</si>
  <si>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</si>
  <si>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</si>
  <si>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</si>
  <si>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</si>
  <si>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</si>
  <si>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</si>
  <si>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</si>
  <si>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</si>
  <si>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</si>
  <si>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</si>
  <si>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</si>
  <si>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</si>
  <si>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</si>
  <si>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</si>
  <si>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</si>
  <si>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</si>
  <si>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</si>
  <si>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</si>
  <si>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</si>
  <si>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</si>
  <si>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</si>
  <si>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</si>
  <si>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</si>
  <si>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</si>
  <si>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</si>
  <si>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</si>
  <si>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</si>
  <si>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</si>
  <si>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</si>
  <si>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</si>
  <si>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</si>
  <si>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</si>
  <si>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</si>
  <si>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</si>
  <si>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</si>
  <si>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</si>
  <si>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</si>
  <si>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</si>
  <si>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</si>
  <si>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</si>
  <si>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</si>
  <si>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</si>
  <si>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</si>
  <si>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</si>
  <si>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</si>
  <si>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</si>
  <si>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</si>
  <si>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</si>
  <si>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</si>
  <si>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</si>
  <si>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</si>
  <si>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</si>
  <si>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</si>
  <si>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</si>
  <si>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</si>
  <si>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</si>
  <si>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</si>
  <si>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</si>
  <si>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</si>
  <si>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</si>
  <si>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</si>
  <si>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</si>
  <si>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</si>
  <si>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</si>
  <si>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</si>
  <si>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</si>
  <si>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</si>
  <si>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</si>
  <si>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</si>
  <si>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</si>
  <si>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</si>
  <si>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</si>
  <si>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</si>
  <si>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</si>
  <si>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</si>
  <si>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</si>
  <si>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</si>
  <si>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</si>
  <si>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</si>
  <si>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</si>
  <si>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</si>
  <si>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</si>
  <si>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</si>
  <si>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</si>
  <si>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</si>
  <si>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</si>
  <si>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</si>
  <si>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</si>
  <si>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</si>
  <si>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</si>
  <si>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</si>
  <si>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</si>
  <si>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</si>
  <si>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</si>
  <si>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</si>
  <si>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</si>
  <si>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</si>
  <si>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</si>
  <si>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</si>
  <si>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</si>
  <si>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</si>
  <si>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</si>
  <si>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</si>
  <si>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</si>
  <si>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</si>
  <si>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</si>
  <si>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</si>
  <si>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</si>
  <si>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</si>
  <si>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</si>
  <si>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</si>
  <si>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</si>
  <si>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</si>
  <si>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</si>
  <si>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</si>
  <si>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</si>
  <si>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</si>
  <si>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</si>
  <si>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</si>
  <si>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</si>
  <si>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</si>
  <si>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</si>
  <si>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</si>
  <si>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</si>
  <si>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</si>
  <si>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</si>
  <si>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</si>
  <si>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</si>
  <si>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</si>
  <si>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</si>
  <si>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</si>
  <si>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</si>
  <si>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</si>
  <si>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</si>
  <si>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</si>
  <si>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</si>
  <si>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</si>
  <si>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</si>
  <si>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</si>
  <si>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</si>
  <si>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</si>
  <si>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</si>
  <si>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</si>
  <si>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</si>
  <si>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</si>
  <si>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</si>
  <si>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</si>
  <si>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</si>
  <si>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</si>
  <si>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</si>
  <si>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</si>
  <si>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</si>
  <si>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</si>
  <si>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</si>
  <si>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</si>
  <si>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</si>
  <si>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</si>
  <si>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</si>
  <si>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</si>
  <si>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</si>
  <si>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</si>
  <si>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</si>
  <si>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</si>
  <si>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</si>
  <si>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</si>
  <si>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</si>
  <si>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</si>
  <si>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</si>
  <si>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</si>
  <si>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</si>
  <si>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</si>
  <si>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</si>
  <si>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</si>
  <si>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</si>
  <si>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</si>
  <si>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</si>
  <si>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</si>
  <si>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</si>
  <si>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</si>
  <si>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</si>
  <si>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</si>
  <si>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</si>
  <si>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</si>
  <si>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</si>
  <si>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</si>
  <si>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</si>
  <si>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</si>
  <si>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</si>
  <si>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</si>
  <si>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</si>
  <si>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</si>
  <si>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</si>
  <si>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</si>
  <si>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</si>
  <si>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</si>
  <si>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</si>
  <si>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</si>
  <si>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</si>
  <si>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</si>
  <si>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</si>
  <si>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</si>
  <si>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</si>
  <si>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</si>
  <si>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</si>
  <si>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</si>
  <si>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</si>
  <si>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</si>
  <si>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</si>
  <si>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</si>
  <si>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</si>
  <si>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</si>
  <si>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</si>
  <si>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</si>
  <si>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</si>
  <si>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</si>
  <si>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</si>
  <si>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</si>
  <si>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</si>
  <si>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</si>
  <si>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</si>
  <si>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</si>
  <si>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</si>
  <si>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</si>
  <si>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</si>
  <si>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</si>
  <si>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</si>
  <si>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</si>
  <si>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</si>
  <si>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</si>
  <si>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</si>
  <si>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</si>
  <si>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</si>
  <si>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</si>
  <si>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</si>
  <si>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</si>
  <si>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</si>
  <si>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</si>
  <si>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</si>
  <si>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</si>
  <si>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</si>
  <si>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</si>
  <si>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</si>
  <si>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</si>
  <si>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</si>
  <si>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</si>
  <si>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</si>
  <si>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</si>
  <si>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</si>
  <si>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</si>
  <si>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</si>
  <si>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</si>
  <si>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</si>
  <si>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</si>
  <si>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</si>
  <si>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</si>
  <si>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</si>
  <si>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</si>
  <si>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</si>
  <si>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</si>
  <si>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</si>
  <si>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</si>
  <si>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</si>
  <si>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</si>
  <si>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</si>
  <si>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</si>
  <si>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</si>
  <si>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</si>
  <si>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</si>
  <si>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</si>
  <si>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</si>
  <si>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</si>
  <si>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</si>
  <si>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</si>
  <si>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</si>
  <si>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</si>
  <si>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</si>
  <si>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</si>
  <si>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</si>
  <si>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</si>
  <si>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</si>
  <si>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</si>
  <si>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</si>
  <si>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</si>
  <si>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</si>
  <si>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</si>
  <si>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</si>
  <si>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</si>
  <si>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</si>
  <si>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</si>
  <si>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</si>
  <si>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</si>
  <si>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</si>
  <si>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</si>
  <si>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</si>
  <si>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</si>
  <si>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</si>
  <si>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</si>
  <si>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</si>
  <si>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</si>
  <si>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</si>
  <si>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</si>
  <si>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</si>
  <si>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</si>
  <si>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</si>
  <si>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</si>
  <si>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</si>
  <si>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</si>
  <si>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</si>
  <si>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</si>
  <si>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</si>
  <si>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</si>
  <si>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</si>
  <si>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</si>
  <si>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</si>
  <si>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</si>
  <si>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</si>
  <si>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</si>
  <si>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</si>
  <si>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</si>
  <si>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</si>
  <si>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</si>
  <si>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</si>
  <si>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</si>
  <si>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</si>
  <si>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</si>
  <si>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</si>
  <si>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</si>
  <si>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</si>
  <si>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</si>
  <si>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</si>
  <si>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</si>
  <si>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</si>
  <si>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</si>
  <si>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</si>
  <si>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</si>
  <si>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</si>
  <si>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</si>
  <si>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</si>
  <si>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</si>
  <si>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</si>
  <si>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</si>
  <si>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</si>
  <si>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</si>
  <si>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</si>
  <si>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</si>
  <si>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</si>
  <si>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</si>
  <si>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</si>
  <si>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</si>
  <si>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</si>
  <si>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</si>
  <si>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</si>
  <si>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</si>
  <si>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</si>
  <si>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</si>
  <si>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</si>
  <si>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</si>
  <si>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</si>
  <si>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</si>
  <si>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</si>
  <si>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</si>
  <si>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</si>
  <si>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</si>
  <si>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</si>
  <si>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</si>
  <si>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</si>
  <si>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</si>
  <si>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</si>
  <si>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</si>
  <si>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</si>
  <si>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</si>
  <si>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</si>
  <si>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</si>
  <si>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</si>
  <si>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</si>
  <si>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</si>
  <si>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</si>
  <si>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</si>
  <si>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</si>
  <si>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</si>
  <si>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</si>
  <si>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</si>
  <si>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</si>
  <si>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</si>
  <si>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</si>
  <si>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</si>
  <si>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</si>
  <si>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</si>
  <si>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</si>
  <si>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</si>
  <si>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</si>
  <si>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</si>
  <si>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</si>
  <si>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</si>
  <si>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</si>
  <si>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</si>
  <si>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</si>
  <si>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</si>
  <si>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</si>
  <si>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</si>
  <si>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</si>
  <si>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</si>
  <si>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</si>
  <si>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</si>
  <si>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</si>
  <si>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</si>
  <si>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</si>
  <si>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</si>
  <si>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</si>
  <si>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</si>
  <si>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</si>
  <si>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</si>
  <si>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</si>
  <si>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</si>
  <si>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</si>
  <si>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</si>
  <si>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</si>
  <si>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</si>
  <si>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</si>
  <si>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</si>
  <si>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</si>
  <si>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</si>
  <si>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</si>
  <si>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</si>
  <si>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</si>
  <si>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</si>
  <si>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</si>
  <si>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</si>
  <si>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</si>
  <si>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</si>
  <si>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</si>
  <si>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</si>
  <si>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</si>
  <si>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</si>
  <si>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</si>
  <si>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</si>
  <si>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</si>
  <si>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</si>
  <si>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</si>
  <si>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</si>
  <si>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</si>
  <si>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</si>
  <si>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</si>
  <si>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</si>
  <si>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</si>
  <si>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</si>
  <si>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</si>
  <si>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</si>
  <si>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</si>
  <si>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</si>
  <si>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</si>
  <si>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</si>
  <si>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</si>
  <si>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</si>
  <si>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</si>
  <si>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</si>
  <si>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</si>
  <si>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</si>
  <si>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</si>
  <si>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</si>
  <si>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</si>
  <si>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</si>
  <si>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</si>
  <si>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</si>
  <si>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</si>
  <si>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</si>
  <si>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</si>
  <si>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</si>
  <si>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</si>
  <si>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</si>
  <si>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</si>
  <si>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</si>
  <si>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</si>
  <si>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</si>
  <si>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</si>
  <si>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</si>
  <si>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</si>
  <si>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</si>
  <si>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</si>
  <si>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</si>
  <si>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</si>
  <si>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</si>
  <si>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</si>
  <si>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</si>
  <si>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</si>
  <si>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</si>
  <si>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</si>
  <si>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</si>
  <si>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</si>
  <si>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</si>
  <si>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</si>
  <si>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</si>
  <si>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</si>
  <si>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</si>
  <si>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</si>
  <si>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</si>
  <si>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</si>
  <si>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</si>
  <si>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</si>
  <si>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</si>
  <si>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</si>
  <si>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</si>
  <si>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</si>
  <si>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</si>
  <si>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</si>
  <si>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</si>
  <si>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</si>
  <si>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</si>
  <si>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</si>
  <si>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</si>
  <si>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</si>
  <si>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</si>
  <si>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</si>
  <si>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</si>
  <si>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</si>
  <si>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</si>
  <si>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</si>
  <si>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</si>
  <si>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</si>
  <si>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</si>
  <si>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</si>
  <si>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</si>
  <si>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</si>
  <si>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</si>
  <si>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</si>
  <si>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</si>
  <si>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</si>
  <si>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</si>
  <si>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</si>
  <si>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</si>
  <si>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</si>
  <si>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</si>
  <si>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</si>
  <si>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</si>
  <si>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</si>
  <si>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</si>
  <si>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</si>
  <si>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</si>
  <si>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</si>
  <si>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</si>
  <si>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</si>
  <si>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</si>
  <si>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</si>
  <si>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</si>
  <si>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</si>
  <si>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</si>
  <si>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</si>
  <si>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</si>
  <si>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</si>
  <si>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</si>
  <si>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</si>
  <si>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</si>
  <si>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</si>
  <si>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</si>
  <si>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</si>
  <si>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</si>
  <si>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</si>
  <si>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</si>
  <si>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</si>
  <si>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</si>
  <si>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</si>
  <si>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</si>
  <si>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</si>
  <si>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</si>
  <si>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</si>
  <si>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</si>
  <si>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</si>
  <si>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</si>
  <si>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</si>
  <si>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</si>
  <si>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</si>
  <si>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</si>
  <si>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</si>
  <si>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</si>
  <si>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</si>
  <si>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</si>
  <si>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</si>
  <si>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</si>
  <si>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</si>
  <si>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</si>
  <si>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</si>
  <si>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</si>
  <si>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</si>
  <si>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</si>
  <si>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</si>
  <si>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</si>
  <si>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</si>
  <si>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</si>
  <si>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</si>
  <si>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</si>
  <si>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</si>
  <si>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</si>
  <si>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</si>
  <si>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</si>
  <si>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</si>
  <si>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</si>
  <si>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</si>
  <si>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</si>
  <si>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</si>
  <si>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</si>
  <si>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</si>
  <si>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</si>
  <si>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</si>
  <si>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</si>
  <si>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</si>
  <si>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</si>
  <si>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</si>
  <si>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</si>
  <si>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</si>
  <si>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</si>
  <si>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</si>
  <si>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</si>
  <si>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</si>
  <si>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</si>
  <si>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</si>
  <si>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</si>
  <si>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</si>
  <si>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</si>
  <si>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</si>
  <si>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</si>
  <si>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</si>
  <si>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</si>
  <si>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</si>
  <si>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</si>
  <si>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</si>
  <si>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</si>
  <si>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</si>
  <si>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</si>
  <si>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</si>
  <si>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</si>
  <si>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</si>
  <si>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</si>
  <si>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</si>
  <si>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</si>
  <si>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</si>
  <si>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</si>
  <si>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</si>
  <si>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</si>
  <si>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</si>
  <si>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</si>
  <si>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</si>
  <si>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</si>
  <si>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</si>
  <si>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</si>
  <si>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</si>
  <si>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</si>
  <si>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</si>
  <si>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</si>
  <si>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</si>
  <si>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</si>
  <si>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</si>
  <si>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</si>
  <si>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</si>
  <si>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</si>
  <si>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</si>
  <si>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</si>
  <si>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</si>
  <si>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</si>
  <si>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</si>
  <si>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</si>
  <si>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</si>
  <si>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</si>
  <si>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</si>
  <si>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</si>
  <si>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</si>
  <si>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</si>
  <si>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</si>
  <si>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</si>
  <si>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</si>
  <si>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</si>
  <si>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</si>
  <si>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</si>
  <si>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</si>
  <si>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</si>
  <si>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</si>
  <si>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</si>
  <si>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</si>
  <si>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</si>
  <si>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</si>
  <si>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</si>
  <si>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</si>
  <si>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</si>
  <si>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</si>
  <si>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</si>
  <si>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</si>
  <si>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</si>
  <si>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</si>
  <si>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</si>
  <si>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</si>
  <si>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</si>
  <si>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</si>
  <si>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</si>
  <si>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</si>
  <si>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</si>
  <si>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</si>
  <si>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</si>
  <si>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</si>
  <si>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</si>
  <si>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</si>
  <si>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</si>
  <si>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</si>
  <si>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</si>
  <si>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</si>
  <si>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</si>
  <si>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</si>
  <si>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</si>
  <si>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</si>
  <si>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</si>
  <si>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</si>
  <si>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</si>
  <si>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</si>
  <si>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</si>
  <si>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</si>
  <si>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</si>
  <si>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</si>
  <si>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</si>
  <si>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</si>
  <si>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</si>
  <si>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</si>
  <si>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</si>
  <si>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</si>
  <si>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</si>
  <si>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</si>
  <si>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</si>
  <si>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</si>
  <si>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</si>
  <si>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</si>
  <si>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</si>
  <si>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</si>
  <si>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</si>
  <si>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</si>
  <si>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</si>
  <si>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</si>
  <si>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</si>
  <si>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</si>
  <si>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</si>
  <si>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</si>
  <si>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</si>
  <si>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</si>
  <si>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</si>
  <si>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</si>
  <si>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</si>
  <si>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</si>
  <si>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</si>
  <si>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</si>
  <si>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</si>
  <si>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</si>
  <si>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</si>
  <si>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</si>
  <si>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</si>
  <si>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</si>
  <si>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</si>
  <si>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</si>
  <si>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</si>
  <si>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</si>
  <si>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</si>
  <si>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</si>
  <si>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</si>
  <si>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</si>
  <si>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</si>
  <si>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</si>
  <si>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</si>
  <si>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</si>
  <si>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</si>
  <si>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</si>
  <si>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</si>
  <si>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</si>
  <si>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</si>
  <si>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</si>
  <si>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</si>
  <si>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</si>
  <si>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</si>
  <si>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</si>
  <si>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</si>
  <si>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</si>
  <si>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</si>
  <si>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</si>
  <si>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</si>
  <si>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</si>
  <si>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</si>
  <si>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</si>
  <si>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</si>
  <si>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</si>
  <si>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</si>
  <si>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</si>
  <si>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</si>
  <si>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</si>
  <si>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</si>
  <si>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</si>
  <si>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</si>
  <si>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</si>
  <si>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</si>
  <si>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</si>
  <si>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</si>
  <si>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</si>
  <si>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</si>
  <si>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</si>
  <si>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</si>
  <si>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</si>
  <si>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</si>
  <si>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</si>
  <si>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</si>
  <si>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</si>
  <si>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</si>
  <si>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</si>
  <si>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</si>
  <si>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</si>
  <si>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</si>
  <si>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</si>
  <si>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</si>
  <si>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</si>
  <si>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</si>
  <si>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</si>
  <si>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</si>
  <si>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</si>
  <si>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</si>
  <si>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</si>
  <si>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</si>
  <si>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</si>
  <si>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</si>
  <si>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</si>
  <si>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</si>
  <si>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</si>
  <si>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</si>
  <si>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</si>
  <si>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</si>
  <si>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</si>
  <si>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</si>
  <si>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</si>
  <si>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</si>
  <si>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</si>
  <si>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</si>
  <si>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</si>
  <si>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</si>
  <si>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</si>
  <si>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</si>
  <si>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</si>
  <si>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</si>
  <si>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</si>
  <si>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</si>
  <si>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</si>
  <si>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</si>
  <si>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</si>
  <si>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</si>
  <si>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</si>
  <si>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</si>
  <si>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</si>
  <si>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</si>
  <si>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</si>
  <si>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</si>
  <si>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</si>
  <si>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</si>
  <si>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</si>
  <si>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</si>
  <si>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</si>
  <si>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</si>
  <si>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</si>
  <si>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</si>
  <si>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</si>
  <si>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</si>
  <si>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</si>
  <si>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</si>
  <si>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</si>
  <si>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</si>
  <si>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</si>
  <si>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</si>
  <si>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</si>
  <si>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</si>
  <si>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</si>
  <si>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</si>
  <si>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</si>
  <si>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</si>
  <si>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</si>
  <si>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</si>
  <si>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</si>
  <si>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</si>
  <si>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</si>
  <si>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</si>
  <si>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</si>
  <si>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</si>
  <si>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</si>
  <si>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</si>
  <si>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</si>
  <si>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</si>
  <si>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</si>
  <si>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</si>
  <si>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</si>
  <si>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</si>
  <si>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</si>
  <si>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</si>
  <si>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</si>
  <si>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</si>
  <si>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</si>
  <si>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</si>
  <si>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</si>
  <si>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</si>
  <si>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</si>
  <si>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</si>
  <si>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</si>
  <si>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</si>
  <si>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</si>
  <si>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</si>
  <si>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</si>
  <si>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</si>
  <si>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</si>
  <si>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</si>
  <si>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</si>
  <si>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</si>
  <si>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</si>
  <si>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</si>
  <si>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</si>
  <si>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</si>
  <si>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</si>
  <si>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</si>
  <si>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</si>
  <si>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</si>
  <si>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</si>
  <si>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</si>
  <si>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</si>
  <si>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</si>
  <si>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</si>
  <si>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</si>
  <si>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</si>
  <si>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</si>
  <si>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</si>
  <si>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</si>
  <si>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</si>
  <si>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</si>
  <si>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</si>
  <si>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</si>
  <si>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</si>
  <si>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</si>
  <si>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</si>
  <si>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</si>
  <si>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</si>
  <si>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</si>
  <si>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</si>
  <si>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</si>
  <si>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</si>
  <si>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</si>
  <si>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</si>
  <si>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</si>
  <si>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</si>
  <si>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</si>
  <si>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</si>
  <si>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</si>
  <si>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</si>
  <si>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</si>
  <si>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</si>
  <si>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</si>
  <si>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</si>
  <si>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</si>
  <si>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</si>
  <si>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</si>
  <si>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</si>
  <si>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</si>
  <si>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</si>
  <si>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</si>
  <si>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</si>
  <si>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</si>
  <si>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</si>
  <si>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</si>
  <si>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</si>
  <si>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</si>
  <si>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</si>
  <si>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</si>
  <si>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</si>
  <si>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</si>
  <si>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</si>
  <si>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</si>
  <si>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</si>
  <si>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</si>
  <si>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</si>
  <si>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</si>
  <si>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</si>
  <si>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</si>
  <si>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</si>
  <si>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</si>
  <si>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</si>
  <si>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</si>
  <si>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</si>
  <si>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</si>
  <si>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</si>
  <si>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</si>
  <si>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</si>
  <si>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</si>
  <si>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</si>
  <si>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</si>
  <si>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</si>
  <si>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</si>
  <si>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</si>
  <si>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</si>
  <si>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</si>
  <si>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</si>
  <si>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</si>
  <si>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</si>
  <si>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</si>
  <si>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</si>
  <si>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</si>
  <si>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</si>
  <si>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</si>
  <si>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</si>
  <si>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</si>
  <si>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</si>
  <si>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</si>
  <si>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</si>
  <si>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</si>
  <si>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</si>
  <si>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</si>
  <si>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</si>
  <si>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</si>
  <si>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</si>
  <si>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</si>
  <si>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</si>
  <si>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</si>
  <si>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</si>
  <si>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</si>
  <si>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</si>
  <si>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</si>
  <si>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</si>
  <si>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</si>
  <si>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</si>
  <si>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</si>
  <si>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</si>
  <si>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</si>
  <si>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</si>
  <si>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</si>
  <si>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</si>
  <si>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</si>
  <si>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</si>
  <si>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</si>
  <si>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</si>
  <si>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</si>
  <si>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</si>
  <si>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</si>
  <si>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</si>
  <si>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</si>
  <si>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</si>
  <si>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</si>
  <si>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</si>
  <si>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</si>
  <si>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</si>
  <si>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</si>
  <si>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</si>
  <si>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</si>
  <si>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</si>
  <si>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</si>
  <si>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</si>
  <si>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</si>
  <si>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</si>
  <si>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</si>
  <si>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</si>
  <si>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</si>
  <si>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</si>
  <si>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</si>
  <si>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</si>
  <si>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</si>
  <si>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</si>
  <si>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</si>
  <si>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</si>
  <si>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</si>
  <si>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</si>
  <si>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</si>
  <si>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</si>
  <si>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</si>
  <si>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</si>
  <si>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</si>
  <si>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</si>
  <si>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</si>
  <si>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</si>
  <si>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</si>
  <si>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</si>
  <si>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</si>
  <si>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</si>
  <si>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</si>
  <si>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</si>
  <si>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</si>
  <si>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</si>
  <si>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</si>
  <si>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</si>
  <si>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</si>
  <si>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</si>
  <si>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</si>
  <si>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</si>
  <si>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</si>
  <si>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</si>
  <si>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</si>
  <si>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</si>
  <si>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</si>
  <si>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</si>
  <si>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</si>
  <si>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</si>
  <si>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</si>
  <si>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</si>
  <si>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</si>
  <si>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</si>
  <si>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</si>
  <si>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</si>
  <si>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</si>
  <si>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</si>
  <si>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</si>
  <si>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</si>
  <si>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</si>
  <si>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</si>
  <si>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</si>
  <si>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</si>
  <si>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</si>
  <si>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</si>
  <si>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</si>
  <si>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</si>
  <si>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</si>
  <si>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</si>
  <si>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</si>
  <si>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</si>
  <si>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</si>
  <si>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</si>
  <si>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</si>
  <si>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</si>
  <si>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</si>
  <si>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</si>
  <si>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</si>
  <si>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</si>
  <si>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</si>
  <si>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</si>
  <si>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</si>
  <si>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</si>
  <si>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</si>
  <si>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</si>
  <si>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</si>
  <si>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</si>
  <si>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</si>
  <si>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</si>
  <si>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</si>
  <si>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</si>
  <si>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</si>
  <si>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</si>
  <si>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</si>
  <si>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</si>
  <si>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</si>
  <si>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</si>
  <si>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</si>
  <si>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</si>
  <si>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</si>
  <si>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</si>
  <si>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</si>
  <si>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</si>
  <si>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</si>
  <si>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</si>
  <si>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</si>
  <si>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</si>
  <si>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</si>
  <si>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</si>
  <si>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</si>
  <si>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</si>
  <si>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</si>
  <si>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</si>
  <si>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</si>
  <si>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</si>
  <si>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</si>
  <si>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</si>
  <si>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</si>
  <si>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</si>
  <si>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</si>
  <si>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</si>
  <si>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</si>
  <si>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</si>
  <si>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</si>
  <si>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</si>
  <si>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</si>
  <si>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</si>
  <si>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</si>
  <si>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</si>
  <si>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</si>
  <si>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</si>
  <si>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</si>
  <si>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</si>
  <si>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</si>
  <si>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</si>
  <si>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</si>
  <si>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</si>
  <si>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</si>
  <si>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</si>
  <si>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</si>
  <si>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</si>
  <si>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</si>
  <si>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</si>
  <si>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</si>
  <si>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</si>
  <si>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</si>
  <si>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</si>
  <si>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</si>
  <si>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</si>
  <si>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</si>
  <si>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</si>
  <si>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</si>
  <si>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</si>
  <si>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</si>
  <si>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</si>
  <si>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</si>
  <si>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</si>
  <si>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</si>
  <si>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</si>
  <si>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</si>
  <si>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</si>
  <si>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</si>
  <si>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</si>
  <si>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</si>
  <si>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</si>
  <si>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</si>
  <si>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</si>
  <si>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</si>
  <si>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</si>
  <si>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</si>
  <si>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</si>
  <si>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</si>
  <si>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</si>
  <si>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</si>
  <si>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</si>
  <si>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</si>
  <si>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</si>
  <si>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</si>
  <si>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</si>
  <si>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</si>
  <si>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</si>
  <si>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</si>
  <si>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</si>
  <si>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</si>
  <si>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</si>
  <si>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</si>
  <si>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</si>
  <si>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</si>
  <si>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</si>
  <si>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</si>
  <si>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</si>
  <si>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</si>
  <si>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</si>
  <si>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</si>
  <si>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</si>
  <si>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</si>
  <si>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</si>
  <si>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</si>
  <si>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</si>
  <si>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</si>
  <si>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</si>
  <si>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</si>
  <si>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</si>
  <si>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</si>
  <si>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</si>
  <si>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</si>
  <si>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</si>
  <si>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</si>
  <si>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</si>
  <si>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</si>
  <si>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</si>
  <si>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</si>
  <si>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</si>
  <si>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</si>
  <si>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</si>
  <si>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</si>
  <si>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</si>
  <si>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</si>
  <si>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</si>
  <si>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</si>
  <si>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</si>
  <si>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</si>
  <si>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</si>
  <si>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</si>
  <si>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</si>
  <si>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</si>
  <si>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</si>
  <si>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</si>
  <si>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</si>
  <si>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</si>
  <si>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</si>
  <si>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</si>
  <si>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</si>
  <si>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</si>
  <si>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</si>
  <si>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</si>
  <si>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</si>
  <si>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</si>
  <si>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</si>
  <si>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</si>
  <si>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</si>
  <si>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</si>
  <si>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</si>
  <si>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</si>
  <si>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</si>
  <si>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</si>
  <si>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</si>
  <si>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</si>
  <si>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</si>
  <si>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</si>
  <si>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</si>
  <si>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</si>
  <si>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</si>
  <si>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</si>
  <si>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</si>
  <si>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</si>
  <si>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</si>
  <si>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</si>
  <si>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</si>
  <si>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</si>
  <si>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</si>
  <si>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</si>
  <si>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</si>
  <si>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</si>
  <si>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</si>
  <si>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</si>
  <si>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</si>
  <si>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</si>
  <si>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</si>
  <si>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</si>
  <si>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</si>
  <si>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</si>
  <si>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</si>
  <si>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</si>
  <si>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</si>
  <si>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</si>
  <si>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</si>
  <si>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</si>
  <si>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</si>
  <si>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</si>
  <si>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</si>
  <si>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</si>
  <si>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</si>
  <si>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</si>
  <si>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</si>
  <si>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</si>
  <si>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</si>
  <si>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</si>
  <si>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</si>
  <si>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</si>
  <si>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</si>
  <si>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</si>
  <si>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</si>
  <si>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</si>
  <si>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</si>
  <si>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</si>
  <si>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</si>
  <si>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</si>
  <si>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</si>
  <si>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</si>
  <si>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</si>
  <si>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</si>
  <si>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</si>
  <si>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</si>
  <si>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</si>
  <si>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</si>
  <si>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</si>
  <si>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</si>
  <si>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</si>
  <si>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</si>
  <si>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</si>
  <si>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</si>
  <si>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</si>
  <si>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</si>
  <si>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</si>
  <si>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</si>
  <si>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</si>
  <si>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</si>
  <si>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</si>
  <si>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</si>
  <si>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</si>
  <si>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</si>
  <si>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</si>
  <si>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</si>
  <si>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</si>
  <si>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</si>
  <si>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</si>
  <si>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</si>
  <si>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</si>
  <si>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</si>
  <si>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</si>
  <si>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</si>
  <si>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</si>
  <si>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</si>
  <si>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</si>
  <si>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</si>
  <si>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</si>
  <si>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</si>
  <si>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</si>
  <si>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</si>
  <si>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</si>
  <si>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</si>
  <si>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</si>
  <si>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</si>
  <si>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</si>
  <si>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</si>
  <si>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</si>
  <si>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</si>
  <si>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</si>
  <si>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</si>
  <si>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</si>
  <si>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</si>
  <si>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</si>
  <si>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</si>
  <si>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</si>
  <si>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</si>
  <si>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</si>
  <si>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</si>
  <si>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</si>
  <si>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</si>
  <si>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</si>
  <si>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</si>
  <si>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</si>
  <si>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</si>
  <si>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</si>
  <si>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</si>
  <si>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</si>
  <si>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</si>
  <si>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</si>
  <si>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</si>
  <si>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</si>
  <si>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</si>
  <si>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</si>
  <si>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</si>
  <si>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</si>
  <si>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</si>
  <si>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</si>
  <si>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</si>
  <si>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</si>
  <si>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</si>
  <si>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</si>
  <si>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</si>
  <si>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</si>
  <si>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</si>
  <si>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</si>
  <si>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</si>
  <si>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</si>
  <si>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</si>
  <si>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</si>
  <si>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</si>
  <si>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</si>
  <si>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</si>
  <si>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</si>
  <si>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</si>
  <si>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</si>
  <si>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</si>
  <si>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</si>
  <si>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</si>
  <si>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</si>
  <si>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</si>
  <si>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</si>
  <si>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</si>
  <si>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</si>
  <si>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</si>
  <si>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</si>
  <si>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</si>
  <si>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</si>
  <si>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</si>
  <si>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</si>
  <si>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</si>
  <si>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</si>
  <si>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</si>
  <si>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</si>
  <si>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</si>
  <si>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</si>
  <si>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</si>
  <si>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</si>
  <si>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</si>
  <si>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</si>
  <si>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</si>
  <si>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</si>
  <si>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</si>
  <si>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</si>
  <si>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</si>
  <si>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</si>
  <si>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</si>
  <si>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</si>
  <si>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</si>
  <si>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</si>
  <si>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</si>
  <si>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</si>
  <si>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</si>
  <si>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</si>
  <si>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</si>
  <si>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</si>
  <si>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</si>
  <si>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</si>
  <si>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</si>
  <si>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</si>
  <si>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</si>
  <si>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</si>
  <si>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</si>
  <si>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</si>
  <si>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</si>
  <si>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</si>
  <si>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</si>
  <si>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</si>
  <si>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</si>
  <si>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</si>
  <si>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</si>
  <si>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</si>
  <si>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</si>
  <si>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</si>
  <si>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</si>
  <si>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</si>
  <si>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</si>
  <si>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</si>
  <si>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</si>
  <si>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</si>
  <si>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</si>
  <si>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</si>
  <si>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</si>
  <si>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</si>
  <si>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</si>
  <si>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</si>
  <si>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</si>
  <si>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</si>
  <si>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</si>
  <si>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</si>
  <si>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</si>
  <si>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</si>
  <si>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</si>
  <si>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</si>
  <si>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</si>
  <si>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</si>
  <si>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</si>
  <si>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</si>
  <si>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</si>
  <si>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</si>
  <si>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</si>
  <si>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</si>
  <si>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</si>
  <si>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</si>
  <si>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</si>
  <si>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</si>
  <si>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</si>
  <si>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</si>
  <si>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</si>
  <si>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</si>
  <si>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</si>
  <si>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</si>
  <si>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</si>
  <si>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</si>
  <si>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</si>
  <si>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</si>
  <si>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</si>
  <si>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</si>
  <si>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</si>
  <si>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</si>
  <si>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</si>
  <si>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</si>
  <si>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</si>
  <si>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</si>
  <si>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</si>
  <si>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</si>
  <si>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</si>
  <si>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</si>
  <si>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</si>
  <si>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</si>
  <si>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</si>
  <si>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</si>
  <si>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</si>
  <si>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</si>
  <si>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</si>
  <si>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</si>
  <si>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</si>
  <si>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</si>
  <si>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</si>
  <si>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</si>
  <si>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</si>
  <si>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</si>
  <si>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</si>
  <si>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</si>
  <si>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</si>
  <si>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</si>
  <si>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</si>
  <si>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</si>
  <si>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</si>
  <si>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</si>
  <si>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</si>
  <si>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</si>
  <si>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</si>
  <si>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</si>
  <si>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</si>
  <si>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</si>
  <si>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</si>
  <si>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</si>
  <si>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</si>
  <si>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</si>
  <si>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</si>
  <si>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</si>
  <si>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</si>
  <si>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</si>
  <si>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</si>
  <si>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</si>
  <si>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</si>
  <si>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</si>
  <si>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</si>
  <si>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</si>
  <si>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</si>
  <si>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</si>
  <si>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</si>
  <si>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</si>
  <si>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</si>
  <si>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</si>
  <si>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</si>
  <si>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</si>
  <si>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</si>
  <si>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</si>
  <si>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</si>
  <si>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</si>
  <si>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</si>
  <si>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</si>
  <si>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</si>
  <si>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</si>
  <si>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</si>
  <si>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</si>
  <si>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</si>
  <si>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</si>
  <si>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</si>
  <si>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</si>
  <si>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</si>
  <si>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</si>
  <si>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</si>
  <si>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</si>
  <si>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</si>
  <si>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</si>
  <si>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</si>
  <si>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</si>
  <si>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</si>
  <si>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</si>
  <si>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</si>
  <si>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</si>
  <si>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</si>
  <si>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</si>
  <si>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</si>
  <si>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</si>
  <si>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</si>
  <si>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</si>
  <si>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</si>
  <si>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</si>
  <si>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</si>
  <si>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</si>
  <si>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</si>
  <si>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</si>
  <si>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</si>
  <si>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</si>
  <si>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</si>
  <si>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</si>
  <si>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</si>
  <si>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</si>
  <si>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</si>
  <si>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</si>
  <si>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</si>
  <si>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</si>
  <si>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</si>
  <si>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</si>
  <si>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</si>
  <si>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</si>
  <si>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</si>
  <si>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</si>
  <si>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</si>
  <si>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</si>
  <si>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</si>
  <si>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</si>
  <si>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</si>
  <si>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</si>
  <si>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</si>
  <si>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</si>
  <si>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</si>
  <si>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</si>
  <si>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</si>
  <si>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</si>
  <si>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</si>
  <si>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</si>
  <si>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</si>
  <si>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</si>
  <si>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</si>
  <si>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</si>
  <si>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</si>
  <si>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</si>
  <si>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</si>
  <si>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</si>
  <si>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</si>
  <si>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</si>
  <si>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</si>
  <si>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</si>
  <si>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</si>
  <si>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</si>
  <si>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</si>
  <si>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</si>
  <si>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</si>
  <si>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</si>
  <si>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</si>
  <si>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</si>
  <si>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</si>
  <si>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</si>
  <si>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</si>
  <si>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</si>
  <si>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</si>
  <si>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</si>
  <si>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</si>
  <si>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</si>
  <si>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</si>
  <si>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</si>
  <si>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</si>
  <si>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</si>
  <si>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</si>
  <si>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</si>
  <si>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</si>
  <si>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</si>
  <si>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</si>
  <si>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</si>
  <si>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</si>
  <si>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</si>
  <si>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</si>
  <si>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</si>
  <si>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</si>
  <si>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</si>
  <si>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</si>
  <si>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</si>
  <si>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</si>
  <si>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</si>
  <si>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</si>
  <si>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</si>
  <si>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</si>
  <si>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</si>
  <si>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</si>
  <si>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</si>
  <si>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</si>
  <si>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</si>
  <si>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</si>
  <si>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</si>
  <si>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</si>
  <si>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</si>
  <si>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</si>
  <si>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</si>
  <si>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</si>
  <si>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</si>
  <si>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</si>
  <si>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</si>
  <si>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</si>
  <si>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</si>
  <si>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</si>
  <si>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</si>
  <si>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</si>
  <si>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</si>
  <si>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</si>
  <si>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</si>
  <si>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</si>
  <si>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</si>
  <si>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</si>
  <si>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</si>
  <si>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</si>
  <si>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</si>
  <si>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</si>
  <si>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</si>
  <si>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</si>
  <si>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</si>
  <si>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</si>
  <si>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</si>
  <si>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</si>
  <si>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</si>
  <si>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</si>
  <si>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</si>
  <si>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</si>
  <si>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</si>
  <si>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</si>
  <si>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</si>
  <si>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</si>
  <si>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</si>
  <si>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</si>
  <si>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</si>
  <si>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</si>
  <si>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</si>
  <si>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</si>
  <si>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</si>
  <si>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</si>
  <si>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</si>
  <si>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</si>
  <si>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</si>
  <si>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</si>
  <si>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</si>
  <si>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</si>
  <si>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</si>
  <si>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</si>
  <si>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</si>
  <si>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</si>
  <si>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</si>
  <si>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</si>
  <si>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</si>
  <si>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</si>
  <si>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</si>
  <si>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</si>
  <si>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</si>
  <si>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</si>
  <si>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</si>
  <si>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</si>
  <si>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</si>
  <si>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</si>
  <si>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</si>
  <si>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</si>
  <si>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</si>
  <si>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</si>
  <si>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</si>
  <si>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</si>
  <si>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</si>
  <si>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</si>
  <si>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</si>
  <si>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</si>
  <si>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</si>
  <si>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</si>
  <si>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</si>
  <si>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</si>
  <si>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</si>
  <si>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</si>
  <si>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</si>
  <si>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</si>
  <si>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</si>
  <si>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</si>
  <si>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</si>
  <si>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</si>
  <si>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</si>
  <si>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</si>
  <si>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</si>
  <si>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</si>
  <si>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</si>
  <si>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</si>
  <si>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</si>
  <si>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</si>
  <si>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</si>
  <si>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</si>
  <si>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</si>
  <si>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</si>
  <si>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</si>
  <si>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</si>
  <si>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</si>
  <si>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</si>
  <si>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</si>
  <si>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</si>
  <si>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</si>
  <si>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</si>
  <si>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</si>
  <si>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</si>
  <si>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</si>
  <si>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</si>
  <si>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</si>
  <si>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</si>
  <si>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</si>
  <si>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</si>
  <si>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</si>
  <si>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</si>
  <si>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</si>
  <si>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</si>
  <si>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</si>
  <si>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</si>
  <si>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</si>
  <si>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</si>
  <si>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</si>
  <si>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</si>
  <si>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</si>
  <si>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</si>
  <si>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</si>
  <si>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</si>
  <si>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</si>
  <si>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</si>
  <si>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</si>
  <si>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</si>
  <si>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</si>
  <si>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</si>
  <si>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</si>
  <si>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</si>
  <si>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</si>
  <si>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</si>
  <si>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</si>
  <si>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</si>
  <si>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</si>
  <si>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</si>
  <si>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</si>
  <si>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</si>
  <si>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</si>
  <si>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</si>
  <si>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</si>
  <si>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</si>
  <si>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</si>
  <si>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</si>
  <si>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</si>
  <si>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</si>
  <si>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</si>
  <si>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</si>
  <si>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</si>
  <si>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</si>
  <si>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</si>
  <si>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</si>
  <si>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</si>
  <si>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</si>
  <si>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</si>
  <si>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</si>
  <si>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</si>
  <si>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</si>
  <si>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</si>
  <si>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</si>
  <si>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</si>
  <si>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</si>
  <si>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</si>
  <si>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</si>
  <si>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</si>
  <si>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</si>
  <si>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</si>
  <si>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</si>
  <si>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</si>
  <si>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</si>
  <si>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</si>
  <si>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</si>
  <si>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</si>
  <si>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</si>
  <si>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</si>
  <si>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</si>
  <si>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</si>
  <si>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</si>
  <si>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</si>
  <si>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</si>
  <si>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</si>
  <si>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</si>
  <si>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</si>
  <si>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</si>
  <si>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</si>
  <si>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</si>
  <si>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</si>
  <si>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</si>
  <si>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</si>
  <si>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</si>
  <si>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</si>
  <si>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</si>
  <si>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</si>
  <si>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</si>
  <si>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</si>
  <si>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</si>
  <si>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</si>
  <si>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</si>
  <si>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</si>
  <si>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</si>
  <si>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</si>
  <si>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</si>
  <si>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</si>
  <si>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</si>
  <si>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</si>
  <si>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</si>
  <si>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</si>
  <si>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</si>
  <si>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</si>
  <si>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</si>
  <si>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</si>
  <si>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</si>
  <si>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</si>
  <si>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</si>
  <si>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</si>
  <si>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</si>
  <si>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</si>
  <si>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</si>
  <si>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</si>
  <si>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</si>
  <si>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</si>
  <si>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</si>
  <si>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</si>
  <si>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</si>
  <si>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</si>
  <si>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</si>
  <si>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</si>
  <si>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</si>
  <si>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</si>
  <si>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</si>
  <si>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</si>
  <si>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</si>
  <si>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</si>
  <si>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</si>
  <si>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</si>
  <si>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</si>
  <si>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</si>
  <si>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</si>
  <si>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</si>
  <si>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</si>
  <si>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</si>
  <si>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</si>
  <si>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</si>
  <si>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</si>
  <si>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</si>
  <si>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</si>
  <si>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</si>
  <si>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</si>
  <si>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</si>
  <si>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</si>
  <si>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</si>
  <si>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</si>
  <si>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</si>
  <si>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</si>
  <si>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</si>
  <si>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</si>
  <si>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</si>
  <si>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</si>
  <si>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</si>
  <si>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</si>
  <si>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</si>
  <si>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</si>
  <si>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</si>
  <si>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</si>
  <si>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</si>
  <si>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</si>
  <si>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</si>
  <si>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</si>
  <si>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</si>
  <si>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</si>
  <si>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</si>
  <si>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</si>
  <si>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</si>
  <si>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</si>
  <si>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</si>
  <si>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</si>
  <si>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</si>
  <si>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</si>
  <si>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</si>
  <si>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</si>
  <si>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</si>
  <si>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</si>
  <si>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</si>
  <si>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</si>
  <si>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</si>
  <si>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</si>
  <si>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</si>
  <si>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</si>
  <si>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</si>
  <si>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</si>
  <si>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</si>
  <si>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</si>
  <si>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</si>
  <si>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</si>
  <si>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</si>
  <si>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</si>
  <si>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</si>
  <si>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</si>
  <si>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</si>
  <si>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</si>
  <si>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</si>
  <si>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</si>
  <si>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</si>
  <si>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</si>
  <si>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</si>
  <si>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</si>
  <si>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</si>
  <si>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</si>
  <si>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</si>
  <si>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</si>
  <si>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</si>
  <si>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</si>
  <si>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</si>
  <si>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</si>
  <si>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</si>
  <si>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</si>
  <si>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</si>
  <si>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</si>
  <si>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</si>
  <si>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</si>
  <si>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</si>
  <si>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</si>
  <si>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</si>
  <si>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</si>
  <si>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</si>
  <si>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</si>
  <si>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</si>
  <si>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</si>
  <si>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</si>
  <si>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</si>
  <si>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</si>
  <si>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</si>
  <si>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</si>
  <si>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</si>
  <si>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</si>
  <si>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</si>
  <si>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</si>
  <si>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</si>
  <si>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</si>
  <si>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</si>
  <si>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</si>
  <si>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</si>
  <si>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</si>
  <si>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</si>
  <si>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</si>
  <si>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</si>
  <si>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</si>
  <si>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</si>
  <si>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</si>
  <si>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</si>
  <si>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</si>
  <si>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</si>
  <si>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</si>
  <si>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</si>
  <si>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</si>
  <si>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</si>
  <si>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</si>
  <si>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</si>
  <si>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</si>
  <si>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</si>
  <si>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</si>
  <si>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</si>
  <si>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</si>
  <si>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</si>
  <si>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</si>
  <si>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</si>
  <si>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</si>
  <si>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</si>
  <si>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</si>
  <si>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</si>
  <si>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</si>
  <si>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</si>
  <si>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</si>
  <si>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</si>
  <si>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</si>
  <si>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</si>
  <si>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</si>
  <si>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</si>
  <si>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</si>
  <si>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</si>
  <si>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</si>
  <si>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</si>
  <si>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</si>
  <si>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</si>
  <si>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</si>
  <si>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</si>
  <si>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</si>
  <si>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</si>
  <si>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</si>
  <si>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</si>
  <si>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</si>
  <si>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</si>
  <si>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</si>
  <si>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</si>
  <si>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</si>
  <si>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</si>
  <si>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</si>
  <si>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</si>
  <si>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</si>
  <si>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</si>
  <si>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</si>
  <si>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</si>
  <si>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</si>
  <si>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</si>
  <si>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</si>
  <si>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</si>
  <si>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</si>
  <si>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</si>
  <si>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</si>
  <si>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</si>
  <si>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</si>
  <si>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</si>
  <si>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</si>
  <si>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</si>
  <si>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</si>
  <si>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</si>
  <si>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</si>
  <si>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</si>
  <si>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</si>
  <si>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</si>
  <si>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</si>
  <si>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</si>
  <si>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</si>
  <si>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</si>
  <si>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</si>
  <si>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</si>
  <si>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</si>
  <si>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</si>
  <si>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</si>
  <si>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</si>
  <si>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</si>
  <si>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</si>
  <si>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</si>
  <si>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</si>
  <si>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</si>
  <si>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</si>
  <si>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</si>
  <si>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</si>
  <si>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</si>
  <si>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</si>
  <si>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</si>
  <si>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</si>
  <si>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</si>
  <si>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</si>
  <si>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</si>
  <si>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</si>
  <si>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</si>
  <si>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</si>
  <si>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</si>
  <si>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</si>
  <si>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</si>
  <si>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</si>
  <si>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</si>
  <si>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</si>
  <si>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</si>
  <si>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</si>
  <si>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</si>
  <si>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</si>
  <si>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</si>
  <si>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</si>
  <si>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</si>
  <si>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</si>
  <si>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</si>
  <si>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</si>
  <si>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</si>
  <si>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</si>
  <si>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</si>
  <si>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</si>
  <si>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</si>
  <si>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</si>
  <si>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</si>
  <si>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</si>
  <si>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</si>
  <si>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</si>
  <si>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</si>
  <si>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</si>
  <si>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</si>
  <si>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</si>
  <si>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</si>
  <si>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</si>
  <si>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</si>
  <si>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</si>
  <si>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</si>
  <si>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</si>
  <si>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</si>
  <si>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</si>
  <si>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</si>
  <si>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</si>
  <si>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</si>
  <si>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</si>
  <si>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</si>
  <si>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</si>
  <si>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</si>
  <si>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</si>
  <si>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</si>
  <si>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</si>
  <si>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</si>
  <si>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</si>
  <si>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</si>
  <si>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</si>
  <si>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</si>
  <si>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</si>
  <si>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</si>
  <si>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</si>
  <si>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</si>
  <si>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</si>
  <si>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</si>
  <si>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</si>
  <si>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</si>
  <si>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</si>
  <si>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</si>
  <si>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</si>
  <si>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</si>
  <si>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</si>
  <si>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</si>
  <si>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</si>
  <si>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</si>
  <si>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</si>
  <si>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</si>
  <si>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</si>
  <si>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</si>
  <si>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</si>
  <si>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</si>
  <si>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</si>
  <si>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</si>
  <si>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</si>
  <si>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</si>
  <si>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</si>
  <si>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</si>
  <si>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</si>
  <si>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</si>
  <si>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</si>
  <si>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</si>
  <si>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</si>
  <si>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</si>
  <si>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</si>
  <si>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</si>
  <si>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</si>
  <si>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</si>
  <si>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</si>
  <si>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</si>
  <si>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</si>
  <si>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</si>
  <si>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</si>
  <si>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</si>
  <si>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</si>
  <si>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</si>
  <si>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</si>
  <si>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</si>
  <si>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</si>
  <si>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</si>
  <si>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</si>
  <si>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</si>
  <si>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</si>
  <si>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</si>
  <si>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</si>
  <si>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</si>
  <si>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</si>
  <si>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</si>
  <si>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</si>
  <si>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</si>
  <si>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</si>
  <si>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</si>
  <si>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</si>
  <si>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</si>
  <si>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</si>
  <si>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</si>
  <si>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</si>
  <si>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</si>
  <si>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</si>
  <si>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</si>
  <si>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</si>
  <si>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</si>
  <si>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</si>
  <si>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</si>
  <si>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</si>
  <si>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</si>
  <si>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</si>
  <si>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</si>
  <si>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</si>
  <si>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</si>
  <si>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</si>
  <si>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</si>
  <si>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</si>
  <si>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</si>
  <si>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</si>
  <si>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</si>
  <si>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</si>
  <si>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</si>
  <si>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</si>
  <si>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</si>
  <si>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</si>
  <si>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</si>
  <si>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</si>
  <si>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</si>
  <si>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</si>
  <si>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</si>
  <si>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</si>
  <si>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</si>
  <si>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</si>
  <si>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</si>
  <si>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</si>
  <si>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</si>
  <si>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</si>
  <si>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</si>
  <si>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</si>
  <si>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</si>
  <si>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</si>
  <si>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</si>
  <si>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</si>
  <si>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</si>
  <si>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</si>
  <si>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</si>
  <si>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</si>
  <si>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</si>
  <si>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</si>
  <si>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</si>
  <si>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</si>
  <si>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</si>
  <si>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</si>
  <si>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</si>
  <si>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</si>
  <si>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</si>
  <si>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</si>
  <si>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</si>
  <si>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</si>
  <si>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</si>
  <si>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</si>
  <si>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</si>
  <si>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</si>
  <si>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</si>
  <si>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</si>
  <si>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</si>
  <si>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</si>
  <si>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</si>
  <si>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</si>
  <si>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</si>
  <si>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</si>
  <si>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</si>
  <si>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</si>
  <si>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</si>
  <si>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</si>
  <si>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</si>
  <si>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</si>
  <si>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</si>
  <si>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</si>
  <si>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</si>
  <si>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</si>
  <si>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</si>
  <si>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</si>
  <si>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</si>
  <si>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</si>
  <si>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</si>
  <si>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</si>
  <si>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</si>
  <si>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</si>
  <si>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</si>
  <si>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</si>
  <si>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</si>
  <si>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</si>
  <si>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</si>
  <si>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</si>
  <si>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</si>
  <si>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</si>
  <si>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</si>
  <si>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</si>
  <si>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</si>
  <si>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</si>
  <si>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</si>
  <si>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</si>
  <si>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</si>
  <si>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</si>
  <si>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</si>
  <si>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</si>
  <si>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</si>
  <si>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</si>
  <si>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</si>
  <si>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</si>
  <si>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</si>
  <si>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</si>
  <si>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</si>
  <si>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</si>
  <si>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</si>
  <si>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</si>
  <si>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</si>
  <si>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</si>
  <si>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</si>
  <si>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</si>
  <si>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</si>
  <si>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</si>
  <si>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</si>
  <si>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</si>
  <si>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</si>
  <si>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</si>
  <si>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</si>
  <si>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</si>
  <si>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</si>
  <si>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</si>
  <si>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</si>
  <si>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</si>
  <si>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</si>
  <si>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</si>
  <si>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</si>
  <si>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</si>
  <si>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</si>
  <si>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</si>
  <si>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</si>
  <si>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</si>
  <si>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</si>
  <si>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</si>
  <si>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</si>
  <si>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</si>
  <si>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</si>
  <si>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</si>
  <si>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</si>
  <si>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</si>
  <si>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</si>
  <si>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</si>
  <si>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</si>
  <si>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</si>
  <si>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</si>
  <si>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</si>
  <si>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</si>
  <si>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</si>
  <si>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</si>
  <si>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</si>
  <si>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</si>
  <si>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</si>
  <si>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</si>
  <si>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</si>
  <si>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</si>
  <si>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</si>
  <si>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</si>
  <si>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</si>
  <si>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</si>
  <si>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</si>
  <si>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</si>
  <si>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</si>
  <si>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</si>
  <si>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</si>
  <si>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</si>
  <si>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</si>
  <si>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</si>
  <si>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</si>
  <si>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</si>
  <si>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</si>
  <si>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</si>
  <si>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</si>
  <si>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</si>
  <si>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</si>
  <si>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</si>
  <si>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</si>
  <si>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</si>
  <si>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</si>
  <si>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</si>
  <si>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</si>
  <si>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</si>
  <si>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</si>
  <si>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</si>
  <si>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</si>
  <si>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</si>
  <si>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</si>
  <si>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</si>
  <si>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</si>
  <si>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</si>
  <si>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</si>
  <si>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</si>
  <si>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</si>
  <si>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</si>
  <si>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</si>
  <si>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</si>
  <si>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</si>
  <si>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</si>
  <si>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</si>
  <si>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</si>
  <si>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</si>
  <si>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</si>
  <si>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</si>
  <si>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</si>
  <si>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</si>
  <si>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</si>
  <si>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</si>
  <si>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</si>
  <si>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</si>
  <si>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</si>
  <si>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</si>
  <si>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</si>
  <si>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</si>
  <si>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</si>
  <si>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</si>
  <si>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</si>
  <si>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</si>
  <si>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</si>
  <si>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</si>
  <si>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</si>
  <si>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</si>
  <si>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</si>
  <si>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</si>
  <si>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</si>
  <si>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</si>
  <si>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The Village at Chickamauga II</t>
  </si>
  <si>
    <t>Braden Development</t>
  </si>
  <si>
    <t>Jerry W. Braden</t>
  </si>
  <si>
    <t>Member</t>
  </si>
  <si>
    <t>P.O. Box 447</t>
  </si>
  <si>
    <t>jerry@thebradengroup.com</t>
  </si>
  <si>
    <t>2017-062</t>
  </si>
  <si>
    <t>Within City Limits</t>
  </si>
  <si>
    <t>Mayor</t>
  </si>
  <si>
    <t>Direct</t>
  </si>
  <si>
    <t>Annamarie Braden</t>
  </si>
  <si>
    <t>Hillcrest Apartments, L.P.</t>
  </si>
  <si>
    <t>135 North Washington street</t>
  </si>
  <si>
    <t>135 North Washington Street</t>
  </si>
  <si>
    <t>Raymond James</t>
  </si>
  <si>
    <t>880 Carrillon Parkway</t>
  </si>
  <si>
    <t>St. Petersburg</t>
  </si>
  <si>
    <t>Gary Robinson</t>
  </si>
  <si>
    <t>Acquisitions Manager</t>
  </si>
  <si>
    <t>gary.k.robinson@raymondjames.com</t>
  </si>
  <si>
    <t>Braden Development LLC</t>
  </si>
  <si>
    <t>135  North Washington street</t>
  </si>
  <si>
    <t>Olympia Construction, Inc.</t>
  </si>
  <si>
    <t>Albertville</t>
  </si>
  <si>
    <t>Ralph Fullerton</t>
  </si>
  <si>
    <t>sharron@olympiaconstruction.net</t>
  </si>
  <si>
    <t>Boyd Management Company</t>
  </si>
  <si>
    <t>P.O. Box 23589</t>
  </si>
  <si>
    <t>babbie.jaco@boydmanagement.com</t>
  </si>
  <si>
    <t>Barbara Jaco</t>
  </si>
  <si>
    <t>Coleman Law Firm</t>
  </si>
  <si>
    <t>910 N. Patterson St.</t>
  </si>
  <si>
    <t>Tom Kurrie</t>
  </si>
  <si>
    <t>Partner</t>
  </si>
  <si>
    <t>tom.kurrie@colemantalley.com</t>
  </si>
  <si>
    <t>Frank Gudger</t>
  </si>
  <si>
    <t>Five Concourse Pky Suite 100</t>
  </si>
  <si>
    <t>frank.gudger@hawcpa.com</t>
  </si>
  <si>
    <t>Apiro</t>
  </si>
  <si>
    <t>McKean and Associates, LLC</t>
  </si>
  <si>
    <t>2315 Eastchase Lane</t>
  </si>
  <si>
    <t>Rory McKean</t>
  </si>
  <si>
    <t>Owner and Developer are the same, Jerry and Annamarie Braden, who are married</t>
  </si>
  <si>
    <t>For Profit</t>
  </si>
  <si>
    <t>Braden Development LLC (Jerry &amp; Annamarie Braden)</t>
  </si>
  <si>
    <t>Owner &amp; Developer are the same, Jerry &amp; Annamarie Braden</t>
  </si>
  <si>
    <t>Olympia Construction, Inc</t>
  </si>
  <si>
    <t>Raymond James Fee</t>
  </si>
  <si>
    <t>Electric Heat Pump</t>
  </si>
  <si>
    <t>Payroll Tases&amp;Health Insurance</t>
  </si>
  <si>
    <t>Jerry Koontz</t>
  </si>
  <si>
    <t>GEC</t>
  </si>
  <si>
    <t>&lt;65</t>
  </si>
  <si>
    <t>Not Used</t>
  </si>
  <si>
    <t>Georgia Power</t>
  </si>
  <si>
    <t>Agree</t>
  </si>
  <si>
    <t>On-site laundry</t>
  </si>
  <si>
    <t>Terracon</t>
  </si>
  <si>
    <t>Applicant will use a DCA approved accessibility expert to perform the above steps and will design the units to comply with all items above that apply.</t>
  </si>
  <si>
    <t>In a letter dted April 30, 2018 DCA stated the project team is "Qualified".</t>
  </si>
  <si>
    <t>All required documents were submitted in a 2018 preapplication and a letter dated April 30, 2018 from DCA indicated the team is "qualified".</t>
  </si>
  <si>
    <t>The applicant is not a non-profit</t>
  </si>
  <si>
    <t>nA</t>
  </si>
  <si>
    <t>This applicant is not a CHDO</t>
  </si>
  <si>
    <t>All outreach efforts are to be achieved to affirmatively market the units including race and persons with disability, homeless and incorporate use of community service providers in advance.</t>
  </si>
  <si>
    <t>Middle</t>
  </si>
  <si>
    <t>N/a</t>
  </si>
  <si>
    <t>Publicly available</t>
  </si>
  <si>
    <t>monthly</t>
  </si>
  <si>
    <t>Disagree</t>
  </si>
  <si>
    <t>May 2018 v2</t>
  </si>
  <si>
    <t>Computer Training, fire/police training/nutrition, healthy cooking</t>
  </si>
  <si>
    <t>Percent not moving to nurshing home of assisted living</t>
  </si>
  <si>
    <t>Average age in the complex over time</t>
  </si>
  <si>
    <t>9% Credit Competitive Round only</t>
  </si>
  <si>
    <t>208 Hillcrest Drive</t>
  </si>
  <si>
    <t>City of Dublin</t>
  </si>
  <si>
    <t>2018PA-017</t>
  </si>
  <si>
    <t>Phil Best</t>
  </si>
  <si>
    <t>P.O. Box 690</t>
  </si>
  <si>
    <t>http:cityofdublin</t>
  </si>
  <si>
    <t>204 Hillcrest Drive</t>
  </si>
  <si>
    <t>9504</t>
  </si>
  <si>
    <t>Braden Laurens, LLC, Jerry and Annamarie Braden</t>
  </si>
  <si>
    <t>Property Needs Assessment</t>
  </si>
  <si>
    <t>2-Story Walkup</t>
  </si>
  <si>
    <t>Acquisition/Rehab</t>
  </si>
  <si>
    <t>Tax Appeals</t>
  </si>
  <si>
    <t>The project is a family project</t>
  </si>
  <si>
    <t>Dempsey Appraisal Service</t>
  </si>
  <si>
    <t>Purchase Contract</t>
  </si>
  <si>
    <t>Gazebo</t>
  </si>
  <si>
    <t>Playground</t>
  </si>
  <si>
    <t>Pre-Application Waiver</t>
  </si>
  <si>
    <t>DDA/QCT</t>
  </si>
  <si>
    <t>The project is substantially under the maximum allowed.</t>
  </si>
  <si>
    <t>There will be a minimum of two services per month from two catagories as required.</t>
  </si>
  <si>
    <t>1 Month</t>
  </si>
  <si>
    <t>Hillcrest Apartments</t>
  </si>
  <si>
    <t>Woodlawn Senior Village</t>
  </si>
  <si>
    <t>Emeral Pointe</t>
  </si>
  <si>
    <t>95-025</t>
  </si>
  <si>
    <t>2008-068</t>
  </si>
  <si>
    <t>2004-070</t>
  </si>
  <si>
    <t>1999-040</t>
  </si>
  <si>
    <t>Waterford(ShannonEstates)</t>
  </si>
  <si>
    <t>2008-019</t>
  </si>
  <si>
    <t>Riverview Heights(Oconee)</t>
  </si>
  <si>
    <t>Highway &lt; 65 db</t>
  </si>
  <si>
    <t>No Environmental hazards will adversely affect the property.  The tract was initially developed in 1995.</t>
  </si>
  <si>
    <t>There are two site entrances and both exit and enter onto public streets.</t>
  </si>
  <si>
    <t>N/Ap</t>
  </si>
  <si>
    <t>Site is zoned R4, multi family housing.  That designation is the same in Dublin as the RM zone.  The apartments conform with the zoning ordinance.</t>
  </si>
  <si>
    <t>This project is total electric and will not use gas.  Georgia Power is the electric provider and a letter has been obtained concerning capacity and willingness to continue power to this existing complex.</t>
  </si>
  <si>
    <t>Both water and sewer are provided by the City of Dublin and have been over the last 20 years and they will continue.</t>
  </si>
  <si>
    <t>There will be an addition to the existing managers office/laundry for a community room and computer center.</t>
  </si>
  <si>
    <t>Capital Real Estate Consultants,Brandon T. Liles</t>
  </si>
  <si>
    <t>Edward Folskey</t>
  </si>
  <si>
    <t>Dublin Housing, L.P.</t>
  </si>
  <si>
    <t>95-088</t>
  </si>
  <si>
    <t>The balance on the HOME loan is calculated this way.  Original loan was $1,312,500 and the property has a current balance sinking loan payment account of $487,525 cash which will pay the loan down to $824,975 which will be completely paid off at closing of the rehab.</t>
  </si>
  <si>
    <t>Applicant will use a fairly low amount of tax credits per unit of $6,146 per unit. And will pay off a HOME loan of $824,975.</t>
  </si>
  <si>
    <t>The number of desirable activities are substanially more than the minimum needed for points.  There are no undesirable activities.</t>
  </si>
  <si>
    <t>This is not a gut rehab and the earthcraft programs cannot be implemented on this rehab.</t>
  </si>
  <si>
    <t>The site is in Census Tract 9504 which is a QCT but there is no revitalization plan in effect.</t>
  </si>
  <si>
    <t>No Community Transformation plan was used.</t>
  </si>
  <si>
    <t>The Village At Chickamauga II</t>
  </si>
  <si>
    <t>The priority Point will be claimed on The Village at Chickamauga II application and not on this application.</t>
  </si>
  <si>
    <t>Dublin is not a GICH community nor designated military zone.</t>
  </si>
  <si>
    <t>This is not a historic preservation project.</t>
  </si>
  <si>
    <t>404 E. McKinney Avenue</t>
  </si>
  <si>
    <t>Dublin Housing LLLP</t>
  </si>
  <si>
    <t>Dublin Housing LLLP (Hillcrest Apartments) is owned by Jerry W. Braden who is the new owner and developer along with Annamarie Braden</t>
  </si>
  <si>
    <t>Owner &amp; Developer are the same, Jerry  &amp; Annamarie Braden</t>
  </si>
  <si>
    <t>Deferred Developer fee</t>
  </si>
  <si>
    <t>Braden Laurens LLC</t>
  </si>
  <si>
    <t>A PNA Study</t>
  </si>
  <si>
    <t>This is a soft cvost item that would normally go into basis.</t>
  </si>
  <si>
    <t>This is a standard fee charged by Raymond James to cover their out of pocket expense.</t>
  </si>
  <si>
    <t>This cost is not in basis</t>
  </si>
  <si>
    <t>The participants are determined by DCA to be qualified without conditions. The applicant received a selection undeer the RuralHOME setaside.  The HOME loan will be paid off in full and the project will be rehabed.</t>
  </si>
  <si>
    <t>Raymond James is buying both the Federal and Statae Credits and will fund during construction.</t>
  </si>
  <si>
    <t>The property is in the Northern portion of the DCA utility allowance map.</t>
  </si>
  <si>
    <t xml:space="preserve">Repayment of the small deferred developer fee is paid in year 1.  The proforma shows a 1.17 operating expense ratio for the year 15 which is in line with the DCA requirement for non debt projects.  The project has shown over time that local incomes have fallen while utility costs have gone up .  We do not feel the property can afford hard debt without substantially reducing its chance of success over the long run. </t>
  </si>
  <si>
    <t>Semi Monthly, Birthday/holiday/bingo/movie social events</t>
  </si>
  <si>
    <t>There is an identify of interest between the buyer and seller.  This is a 1996 tax credit HOME project applying for funds to pay off the HOME loan and do rehab.  The appraisal value is sufficient to pay off the HOME loan in full.</t>
  </si>
  <si>
    <t>En environmental hazards will adversely affect the property.  One unit tested above 4.0 for Radon and will be mitigated during construction ($2,000) budget in scope of work)</t>
  </si>
  <si>
    <t>Contract is in place and  there is an identity of interest and the price is less than the market value.  The value  by an independent appraisal shows the value is more than the selling price.</t>
  </si>
  <si>
    <t>Approximately $37,000 in rehab will be done as guided by the PNA.  All accessibility issues will be addressed and covers will be built over exposed exterior stairs.</t>
  </si>
  <si>
    <t xml:space="preserve">The buildings/equipment will achieve a minimum standard for energy efficiency and sustainable building practices.   </t>
  </si>
  <si>
    <t>The project is a rehab and there are minor waivers with covers to be placed over exposed exterior stairs.  A community room will be added to community office/laundry and computer center.</t>
  </si>
  <si>
    <t>A relocation specialist provided assistance with relocation.  Since HOME loan regulations are in place at the present time, we anticipate no rent increase now and everyone will return to their apartment.</t>
  </si>
  <si>
    <t>The applicant is eligible for acquisition because of the length of time of ownership.  An opinion letter from Coleman Talley is included in the application.</t>
  </si>
  <si>
    <t>We checked all City of Dublin schools and none of them meet the criteria for quality education.  Almost all the schools had scores less than 70 for the entire three years and some as low as 50.</t>
  </si>
  <si>
    <t>Not a HUD Choice Nighborhood nor purpose built Community</t>
  </si>
  <si>
    <t>This is not a phased development and the last LIHTC project was funded in 2008, which was 2008-019</t>
  </si>
  <si>
    <t>There is no favorable financing on this project.</t>
  </si>
  <si>
    <t>No points are claimed under integrated supportative housing.  The project is already 100% filled and all tenants are expected to continue to live in the complex after rehab.</t>
  </si>
  <si>
    <t xml:space="preserve">(1)Hillcrest, located in Dublin, Georgia is a 1995 HOME tax Credit property consisting of 48 units composed of 20 one-bedrooms, 16 two bedrooms and 12 three bedrooms with family tenancy.  The HOME loan was  based on a unique feature that had payments going into a sinking fund which was to gain interest and eventually pay off the loan.  This feature worked well in the early years when interest rates paid were high but not so well in the last 10 years.  Nonetheless the sinking funds are substantial and significant enough that the balance in the sinking fund is now about 37 percent of the original loan.  The property has been successful from the standpoint of occupancy and providing much needed affordable housing in a good site location and a good market.  The original HOME loan was underwritten at a DCR of 1.10 and there have been some reductions in area median incomes over the life of the loan resulting in reductions in rent.  While the propery has remained stable it has struggled with adequate cash flow and now the property is aging and needs capitalization to enhance its long term viability.  Unit amenities feature a balcony, exterior storage room, ceiling fan and all appliances including a microwave and garbage disposal.
 (2)  This property will have more than $37,000 in rehabe (including contractor services) spent on the rehab and this will include replacement of all major mechanical systems, windows and doors etc as well as repaving the property.  A small addition will be made to the community building to create a community room for services and a computer lab.  Covers will be placed over exising exterior stairs.  It is anticipated that all residents will remain or return to the property after the rehab is complete. 
(3)  The project team is composed of Jerry and Annamarie Braden, who have a combined 78 years experience in affordable housing and government housing programs.  They have developed 44 HOME properties which they own and have  been materially active from the time they were built to the present. </t>
  </si>
  <si>
    <t>GA-95-08801</t>
  </si>
  <si>
    <t>GA-95-08808</t>
  </si>
  <si>
    <t>Developer Entity is 50% owned by Annamarie Braden , a female.  The seller of the land, Dublin Housing LLLP is owned by Jerry Braden and the new Hillcrest Apartments L.P. will be owned by Jerry Braden 51% and Annamarie Braden 49%</t>
  </si>
  <si>
    <t>The land is valued by the Appraisal.  The total price of this property is under the appraised value.  The hard rehab cost were based on a PNA in consultation with the contractor who has a lot of experience in rehabs.  The amount to be spent on rehab is approximately $37,000 per unit including contractor services.</t>
  </si>
  <si>
    <t>The two % other income is an historic average from application fees and or washer dryer concessions.  Insurance is calculated based on  the rate the project is now paying which is a valuation of replacement value.  Taxes have been increased to $10,000 which is about twice what they are now (they were $4,423 in 2017).  All other expenses  except maintenance has been estimated about the same as 2017 but maintenance costs will go down significantly after the rehab has been completed.  Many repairs made during last couble of years have been high cost items that were paid out of operations because of a dwendling RR.</t>
  </si>
  <si>
    <t>The project meets all required feasibility, including construction costs, operating expense and required amenities, environmental requirements and fair housing issues including affirmative fair housing and accessibility.  This application received a  Rural HOME Set Aside consent and this is a 1995 HOME tax credit project that is to be rehabed.</t>
  </si>
  <si>
    <t>This project is 98% occupied (one unit in turnaround) and it has consistently stayed near 98% occupancy through its history.  We expect the present tenants to remain after the rehab.</t>
  </si>
  <si>
    <t>The  site development plan was prepared in accordance with all instructions and all site amenities are shown.  Aerial Photes were made in May, 2018 and site photos were taken March-May, 2018</t>
  </si>
  <si>
    <t>2018-032</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</si>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</sst>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9" fillId="0" borderId="126" xfId="0" applyFont="1" applyBorder="1" applyAlignment="1" applyProtection="1">
      <alignment horizontal="center" wrapText="1"/>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1:XFD1048576"/>
    </sheetView>
  </sheetViews>
  <sheetFormatPr defaultRowHeight="12.75"/>
  <cols>
    <col min="1" max="1" width="144.85546875" style="28" customWidth="1"/>
    <col min="2" max="16384" width="9.140625" style="28"/>
  </cols>
  <sheetData>
    <row r="1" spans="1:6" ht="15" customHeight="1">
      <c r="A1" s="914" t="s">
        <v>987</v>
      </c>
    </row>
    <row r="2" spans="1:6" ht="15" customHeight="1">
      <c r="A2" s="915" t="str">
        <f>'Part I-Project Information'!F34</f>
        <v>Hillcrest Apartments</v>
      </c>
    </row>
    <row r="3" spans="1:6" ht="15" customHeight="1">
      <c r="A3" s="915" t="str">
        <f>CONCATENATE('Part I-Project Information'!F38,", ", 'Part I-Project Information'!J39," County")</f>
        <v>Dublin, Laurens County</v>
      </c>
    </row>
    <row r="4" spans="1:6" ht="12" customHeight="1"/>
    <row r="5" spans="1:6" ht="111" customHeight="1">
      <c r="A5" s="2896" t="s">
        <v>4713</v>
      </c>
      <c r="B5" s="1619" t="s">
        <v>2929</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B4M0FJjAXX9aASKWHhekpbr8bOYv/KhDbNAdJtkiZRmwI6v4JpSabmZwAM5wylB+d95II6RtEdngn+ZQ57bwXA==" saltValue="yaBDw+dfM4I0ofpS+zYcm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B1" zoomScaleNormal="100" workbookViewId="0">
      <selection activeCell="A5"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2018-032 Hillcrest Apartments, Dublin, Laurens County</v>
      </c>
      <c r="B1" s="1746"/>
      <c r="C1" s="1746"/>
      <c r="D1" s="1746"/>
      <c r="E1" s="1746"/>
      <c r="F1" s="1746"/>
      <c r="G1" s="1746"/>
      <c r="H1" s="1746"/>
      <c r="I1" s="1746"/>
      <c r="J1" s="1746"/>
      <c r="K1" s="1746"/>
      <c r="L1" s="1746"/>
      <c r="M1" s="1746"/>
      <c r="N1" s="1746"/>
      <c r="O1" s="1746"/>
      <c r="P1" s="1747"/>
      <c r="U1" s="1849" t="str">
        <f>A1</f>
        <v>PART SIX - PROJECTED REVENUES &amp; EXPENSES  -  2018-032 Hillcrest Apartments, Dublin, Laurens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621</v>
      </c>
      <c r="B3" s="4" t="s">
        <v>2381</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489</v>
      </c>
      <c r="FC3" s="470" t="s">
        <v>2455</v>
      </c>
      <c r="FD3" s="470" t="s">
        <v>2456</v>
      </c>
      <c r="FE3" s="470" t="s">
        <v>2457</v>
      </c>
      <c r="FF3" s="470" t="s">
        <v>2458</v>
      </c>
      <c r="FG3" s="470" t="s">
        <v>489</v>
      </c>
      <c r="FH3" s="470" t="s">
        <v>2455</v>
      </c>
      <c r="FI3" s="470" t="s">
        <v>2456</v>
      </c>
      <c r="FJ3" s="470" t="s">
        <v>2457</v>
      </c>
      <c r="FK3" s="470" t="s">
        <v>2458</v>
      </c>
      <c r="FL3" s="472"/>
      <c r="FM3" s="472"/>
      <c r="FN3" s="472"/>
      <c r="FO3" s="472"/>
      <c r="FP3" s="472"/>
      <c r="FQ3" s="472"/>
      <c r="FR3" s="472"/>
      <c r="FS3" s="472"/>
      <c r="FT3" s="472"/>
      <c r="FU3" s="472"/>
      <c r="FV3" s="470" t="s">
        <v>489</v>
      </c>
      <c r="FW3" s="470" t="s">
        <v>2455</v>
      </c>
      <c r="FX3" s="470" t="s">
        <v>2456</v>
      </c>
      <c r="FY3" s="470" t="s">
        <v>2457</v>
      </c>
      <c r="FZ3" s="470" t="s">
        <v>2458</v>
      </c>
      <c r="GA3" s="470" t="s">
        <v>489</v>
      </c>
      <c r="GB3" s="470" t="s">
        <v>2455</v>
      </c>
      <c r="GC3" s="470" t="s">
        <v>2456</v>
      </c>
      <c r="GD3" s="470" t="s">
        <v>2457</v>
      </c>
      <c r="GE3" s="470" t="s">
        <v>2458</v>
      </c>
      <c r="GF3" s="470" t="s">
        <v>489</v>
      </c>
      <c r="GG3" s="470" t="s">
        <v>2455</v>
      </c>
      <c r="GH3" s="470" t="s">
        <v>2456</v>
      </c>
      <c r="GI3" s="470" t="s">
        <v>2457</v>
      </c>
      <c r="GJ3" s="470" t="s">
        <v>2458</v>
      </c>
      <c r="GK3" s="470" t="s">
        <v>489</v>
      </c>
      <c r="GL3" s="470" t="s">
        <v>2455</v>
      </c>
      <c r="GM3" s="470" t="s">
        <v>2456</v>
      </c>
      <c r="GN3" s="470" t="s">
        <v>2457</v>
      </c>
      <c r="GO3" s="470" t="s">
        <v>2458</v>
      </c>
      <c r="GP3" s="470" t="s">
        <v>489</v>
      </c>
      <c r="GQ3" s="470" t="s">
        <v>2455</v>
      </c>
      <c r="GR3" s="470" t="s">
        <v>2456</v>
      </c>
      <c r="GS3" s="470" t="s">
        <v>2457</v>
      </c>
      <c r="GT3" s="470" t="s">
        <v>2458</v>
      </c>
      <c r="GU3" s="470" t="s">
        <v>489</v>
      </c>
      <c r="GV3" s="470" t="s">
        <v>2455</v>
      </c>
      <c r="GW3" s="470" t="s">
        <v>2456</v>
      </c>
      <c r="GX3" s="470" t="s">
        <v>2457</v>
      </c>
      <c r="GY3" s="470" t="s">
        <v>2458</v>
      </c>
      <c r="GZ3" s="470" t="s">
        <v>489</v>
      </c>
      <c r="HA3" s="470" t="s">
        <v>2455</v>
      </c>
      <c r="HB3" s="470" t="s">
        <v>2456</v>
      </c>
      <c r="HC3" s="470" t="s">
        <v>2457</v>
      </c>
      <c r="HD3" s="470" t="s">
        <v>2458</v>
      </c>
      <c r="HE3" s="470" t="s">
        <v>489</v>
      </c>
      <c r="HF3" s="470" t="s">
        <v>2455</v>
      </c>
      <c r="HG3" s="470" t="s">
        <v>2456</v>
      </c>
      <c r="HH3" s="470" t="s">
        <v>2457</v>
      </c>
      <c r="HI3" s="470" t="s">
        <v>2458</v>
      </c>
      <c r="HJ3" s="470" t="s">
        <v>489</v>
      </c>
      <c r="HK3" s="470" t="s">
        <v>2455</v>
      </c>
      <c r="HL3" s="470" t="s">
        <v>2456</v>
      </c>
      <c r="HM3" s="470" t="s">
        <v>2457</v>
      </c>
      <c r="HN3" s="470" t="s">
        <v>2458</v>
      </c>
      <c r="HO3" s="470" t="s">
        <v>489</v>
      </c>
      <c r="HP3" s="470" t="s">
        <v>2455</v>
      </c>
      <c r="HQ3" s="470" t="s">
        <v>2456</v>
      </c>
      <c r="HR3" s="470" t="s">
        <v>2457</v>
      </c>
      <c r="HS3" s="470" t="s">
        <v>2458</v>
      </c>
      <c r="HT3" s="470" t="s">
        <v>489</v>
      </c>
      <c r="HU3" s="470" t="s">
        <v>2455</v>
      </c>
      <c r="HV3" s="470" t="s">
        <v>2456</v>
      </c>
      <c r="HW3" s="470" t="s">
        <v>2457</v>
      </c>
      <c r="HX3" s="470" t="s">
        <v>2458</v>
      </c>
      <c r="HY3" s="470" t="s">
        <v>489</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927</v>
      </c>
      <c r="X4" s="1851" t="s">
        <v>763</v>
      </c>
      <c r="Y4" s="1851" t="s">
        <v>764</v>
      </c>
      <c r="Z4" s="1851" t="s">
        <v>765</v>
      </c>
      <c r="AA4" s="1851" t="s">
        <v>766</v>
      </c>
      <c r="AB4" s="1851" t="s">
        <v>928</v>
      </c>
      <c r="AC4" s="1851" t="s">
        <v>2325</v>
      </c>
      <c r="AD4" s="1851" t="s">
        <v>2326</v>
      </c>
      <c r="AE4" s="1851" t="s">
        <v>2327</v>
      </c>
      <c r="AF4" s="1851" t="s">
        <v>2328</v>
      </c>
      <c r="AG4" s="1851" t="s">
        <v>929</v>
      </c>
      <c r="AH4" s="1851" t="s">
        <v>2329</v>
      </c>
      <c r="AI4" s="1851" t="s">
        <v>2330</v>
      </c>
      <c r="AJ4" s="1851" t="s">
        <v>2331</v>
      </c>
      <c r="AK4" s="1851" t="s">
        <v>2332</v>
      </c>
      <c r="AL4" s="1851" t="s">
        <v>130</v>
      </c>
      <c r="AM4" s="1851" t="s">
        <v>2333</v>
      </c>
      <c r="AN4" s="1851" t="s">
        <v>2334</v>
      </c>
      <c r="AO4" s="1851" t="s">
        <v>2335</v>
      </c>
      <c r="AP4" s="1851" t="s">
        <v>1157</v>
      </c>
      <c r="AQ4" s="1851" t="s">
        <v>560</v>
      </c>
      <c r="AR4" s="1851" t="s">
        <v>561</v>
      </c>
      <c r="AS4" s="1851" t="s">
        <v>581</v>
      </c>
      <c r="AT4" s="1851" t="s">
        <v>582</v>
      </c>
      <c r="AU4" s="1851" t="s">
        <v>583</v>
      </c>
      <c r="AV4" s="1851" t="s">
        <v>584</v>
      </c>
      <c r="AW4" s="1851" t="s">
        <v>585</v>
      </c>
      <c r="AX4" s="1851" t="s">
        <v>586</v>
      </c>
      <c r="AY4" s="1851" t="s">
        <v>587</v>
      </c>
      <c r="AZ4" s="1851" t="s">
        <v>588</v>
      </c>
      <c r="BA4" s="1851" t="s">
        <v>589</v>
      </c>
      <c r="BB4" s="1851" t="s">
        <v>590</v>
      </c>
      <c r="BC4" s="1851" t="s">
        <v>939</v>
      </c>
      <c r="BD4" s="1851" t="s">
        <v>940</v>
      </c>
      <c r="BE4" s="1851" t="s">
        <v>941</v>
      </c>
      <c r="BF4" s="1851" t="s">
        <v>500</v>
      </c>
      <c r="BG4" s="1851" t="s">
        <v>501</v>
      </c>
      <c r="BH4" s="1851" t="s">
        <v>502</v>
      </c>
      <c r="BI4" s="1851" t="s">
        <v>503</v>
      </c>
      <c r="BJ4" s="1851" t="s">
        <v>504</v>
      </c>
      <c r="BK4" s="1851" t="s">
        <v>888</v>
      </c>
      <c r="BL4" s="1851" t="s">
        <v>889</v>
      </c>
      <c r="BM4" s="1851" t="s">
        <v>890</v>
      </c>
      <c r="BN4" s="1851" t="s">
        <v>891</v>
      </c>
      <c r="BO4" s="1851" t="s">
        <v>892</v>
      </c>
      <c r="BP4" s="1851" t="s">
        <v>893</v>
      </c>
      <c r="BQ4" s="1851" t="s">
        <v>894</v>
      </c>
      <c r="BR4" s="1851" t="s">
        <v>895</v>
      </c>
      <c r="BS4" s="1851" t="s">
        <v>896</v>
      </c>
      <c r="BT4" s="1851" t="s">
        <v>897</v>
      </c>
      <c r="BU4" s="1851" t="s">
        <v>2445</v>
      </c>
      <c r="BV4" s="1851" t="s">
        <v>2446</v>
      </c>
      <c r="BW4" s="1851" t="s">
        <v>2447</v>
      </c>
      <c r="BX4" s="1851" t="s">
        <v>2448</v>
      </c>
      <c r="BY4" s="1851" t="s">
        <v>2449</v>
      </c>
      <c r="BZ4" s="1851" t="s">
        <v>118</v>
      </c>
      <c r="CA4" s="1851" t="s">
        <v>1160</v>
      </c>
      <c r="CB4" s="1851" t="s">
        <v>1161</v>
      </c>
      <c r="CC4" s="1851" t="s">
        <v>1224</v>
      </c>
      <c r="CD4" s="1851" t="s">
        <v>1225</v>
      </c>
      <c r="CE4" s="1854" t="s">
        <v>133</v>
      </c>
      <c r="CF4" s="1854" t="s">
        <v>1226</v>
      </c>
      <c r="CG4" s="1854" t="s">
        <v>1227</v>
      </c>
      <c r="CH4" s="1854" t="s">
        <v>1228</v>
      </c>
      <c r="CI4" s="1854" t="s">
        <v>1229</v>
      </c>
      <c r="CJ4" s="1854" t="s">
        <v>132</v>
      </c>
      <c r="CK4" s="1854" t="s">
        <v>919</v>
      </c>
      <c r="CL4" s="1854" t="s">
        <v>920</v>
      </c>
      <c r="CM4" s="1854" t="s">
        <v>921</v>
      </c>
      <c r="CN4" s="1854" t="s">
        <v>922</v>
      </c>
      <c r="CO4" s="1854" t="s">
        <v>131</v>
      </c>
      <c r="CP4" s="1854" t="s">
        <v>923</v>
      </c>
      <c r="CQ4" s="1854" t="s">
        <v>924</v>
      </c>
      <c r="CR4" s="1854" t="s">
        <v>925</v>
      </c>
      <c r="CS4" s="1854" t="s">
        <v>926</v>
      </c>
      <c r="CT4" s="1854" t="s">
        <v>816</v>
      </c>
      <c r="CU4" s="1854" t="s">
        <v>817</v>
      </c>
      <c r="CV4" s="1854" t="s">
        <v>818</v>
      </c>
      <c r="CW4" s="1854" t="s">
        <v>819</v>
      </c>
      <c r="CX4" s="1854" t="s">
        <v>820</v>
      </c>
      <c r="CY4" s="1854" t="s">
        <v>965</v>
      </c>
      <c r="CZ4" s="1854" t="s">
        <v>966</v>
      </c>
      <c r="DA4" s="1854" t="s">
        <v>967</v>
      </c>
      <c r="DB4" s="1854" t="s">
        <v>968</v>
      </c>
      <c r="DC4" s="1854" t="s">
        <v>2444</v>
      </c>
      <c r="DD4" s="1854" t="s">
        <v>1444</v>
      </c>
      <c r="DE4" s="1854" t="s">
        <v>1445</v>
      </c>
      <c r="DF4" s="1854" t="s">
        <v>1446</v>
      </c>
      <c r="DG4" s="1854" t="s">
        <v>1447</v>
      </c>
      <c r="DH4" s="1854" t="s">
        <v>1448</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1823</v>
      </c>
      <c r="DW4" s="1854" t="s">
        <v>1824</v>
      </c>
      <c r="DX4" s="1854" t="s">
        <v>1825</v>
      </c>
      <c r="DY4" s="1854" t="s">
        <v>597</v>
      </c>
      <c r="DZ4" s="1854" t="s">
        <v>598</v>
      </c>
      <c r="EA4" s="1854" t="s">
        <v>599</v>
      </c>
      <c r="EB4" s="1854" t="s">
        <v>600</v>
      </c>
      <c r="EC4" s="1854" t="s">
        <v>22</v>
      </c>
      <c r="ED4" s="1854" t="s">
        <v>23</v>
      </c>
      <c r="EE4" s="1854" t="s">
        <v>24</v>
      </c>
      <c r="EF4" s="1854" t="s">
        <v>25</v>
      </c>
      <c r="EG4" s="1854" t="s">
        <v>26</v>
      </c>
      <c r="EH4" s="1854" t="s">
        <v>499</v>
      </c>
      <c r="EI4" s="1854" t="s">
        <v>434</v>
      </c>
      <c r="EJ4" s="1854" t="s">
        <v>435</v>
      </c>
      <c r="EK4" s="1854" t="s">
        <v>436</v>
      </c>
      <c r="EL4" s="1854" t="s">
        <v>437</v>
      </c>
      <c r="EM4" s="1854" t="s">
        <v>2223</v>
      </c>
      <c r="EN4" s="1854" t="s">
        <v>2224</v>
      </c>
      <c r="EO4" s="1854" t="s">
        <v>2225</v>
      </c>
      <c r="EP4" s="1854" t="s">
        <v>1490</v>
      </c>
      <c r="EQ4" s="1854" t="s">
        <v>1491</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1636</v>
      </c>
      <c r="IE4" s="1850" t="s">
        <v>2539</v>
      </c>
      <c r="IF4" s="1850" t="s">
        <v>2540</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1859</v>
      </c>
      <c r="D5" s="1"/>
      <c r="E5" s="4"/>
      <c r="F5" s="1"/>
      <c r="G5" s="3239"/>
      <c r="H5" s="1126"/>
      <c r="I5" s="1586" t="s">
        <v>805</v>
      </c>
      <c r="J5" s="1586" t="s">
        <v>3587</v>
      </c>
      <c r="K5" s="1847" t="s">
        <v>4554</v>
      </c>
      <c r="L5" s="1848"/>
      <c r="M5" s="1583" t="s">
        <v>580</v>
      </c>
      <c r="O5" s="1585" t="s">
        <v>1044</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1817</v>
      </c>
      <c r="D6" s="1"/>
      <c r="E6" s="4"/>
      <c r="F6" s="3240"/>
      <c r="G6" s="1586" t="s">
        <v>3691</v>
      </c>
      <c r="H6" s="1852" t="s">
        <v>3924</v>
      </c>
      <c r="I6" s="1586" t="s">
        <v>806</v>
      </c>
      <c r="J6" s="1586" t="s">
        <v>3694</v>
      </c>
      <c r="K6" s="1848"/>
      <c r="L6" s="1848"/>
      <c r="M6" s="1856" t="str">
        <f>'Part I-Project Information'!$O$40</f>
        <v>Laurens Co.</v>
      </c>
      <c r="N6" s="1856"/>
      <c r="O6" s="928">
        <f>VLOOKUP('Part I-Project Information'!$O$40,'DCA Underwriting Assumptions'!$C$155:$D$265,2)</f>
        <v>44200</v>
      </c>
      <c r="P6" s="1852"/>
      <c r="Q6" s="1584"/>
      <c r="R6" s="97"/>
      <c r="S6" s="1857" t="s">
        <v>2714</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3882</v>
      </c>
      <c r="J7" s="1586" t="s">
        <v>3695</v>
      </c>
      <c r="K7" s="919"/>
      <c r="L7" s="919"/>
      <c r="M7" s="1"/>
      <c r="P7" s="1852"/>
      <c r="Q7" s="1584"/>
      <c r="R7" s="919"/>
      <c r="S7" s="920"/>
      <c r="T7" s="925" t="s">
        <v>2711</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1489</v>
      </c>
      <c r="C8" s="1586" t="s">
        <v>173</v>
      </c>
      <c r="D8" s="1586" t="s">
        <v>549</v>
      </c>
      <c r="E8" s="1586" t="s">
        <v>1487</v>
      </c>
      <c r="F8" s="1586" t="s">
        <v>1487</v>
      </c>
      <c r="G8" s="1586" t="s">
        <v>1489</v>
      </c>
      <c r="H8" s="1586" t="s">
        <v>3692</v>
      </c>
      <c r="I8" s="1867"/>
      <c r="J8" s="1586" t="s">
        <v>2421</v>
      </c>
      <c r="K8" s="1858" t="s">
        <v>146</v>
      </c>
      <c r="L8" s="1858"/>
      <c r="M8" s="1586" t="s">
        <v>2382</v>
      </c>
      <c r="N8" s="1586" t="s">
        <v>536</v>
      </c>
      <c r="O8" s="1586" t="s">
        <v>385</v>
      </c>
      <c r="P8" s="1852"/>
      <c r="Q8" s="1858" t="s">
        <v>3597</v>
      </c>
      <c r="R8" s="1858"/>
      <c r="S8" s="1586" t="s">
        <v>2710</v>
      </c>
      <c r="T8" s="1586" t="s">
        <v>2712</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1473</v>
      </c>
      <c r="EX8" s="473" t="s">
        <v>2455</v>
      </c>
      <c r="EY8" s="473" t="s">
        <v>2456</v>
      </c>
      <c r="EZ8" s="473" t="s">
        <v>2457</v>
      </c>
      <c r="FA8" s="473" t="s">
        <v>2458</v>
      </c>
      <c r="FB8" s="1850" t="s">
        <v>2512</v>
      </c>
      <c r="FC8" s="1850" t="s">
        <v>2512</v>
      </c>
      <c r="FD8" s="1850" t="s">
        <v>2512</v>
      </c>
      <c r="FE8" s="1850" t="s">
        <v>2512</v>
      </c>
      <c r="FF8" s="1850" t="s">
        <v>2512</v>
      </c>
      <c r="FG8" s="1850" t="s">
        <v>3387</v>
      </c>
      <c r="FH8" s="1850" t="s">
        <v>3387</v>
      </c>
      <c r="FI8" s="1850" t="s">
        <v>3387</v>
      </c>
      <c r="FJ8" s="1850" t="s">
        <v>3387</v>
      </c>
      <c r="FK8" s="1850" t="s">
        <v>3387</v>
      </c>
      <c r="FL8" s="473" t="s">
        <v>572</v>
      </c>
      <c r="FM8" s="473" t="s">
        <v>2455</v>
      </c>
      <c r="FN8" s="473" t="s">
        <v>2456</v>
      </c>
      <c r="FO8" s="473" t="s">
        <v>2457</v>
      </c>
      <c r="FP8" s="473" t="s">
        <v>2458</v>
      </c>
      <c r="FQ8" s="473" t="s">
        <v>572</v>
      </c>
      <c r="FR8" s="473" t="s">
        <v>2455</v>
      </c>
      <c r="FS8" s="473" t="s">
        <v>2456</v>
      </c>
      <c r="FT8" s="473" t="s">
        <v>2457</v>
      </c>
      <c r="FU8" s="473" t="s">
        <v>2458</v>
      </c>
      <c r="FV8" s="1850" t="s">
        <v>2514</v>
      </c>
      <c r="FW8" s="1850" t="s">
        <v>2514</v>
      </c>
      <c r="FX8" s="1850" t="s">
        <v>2514</v>
      </c>
      <c r="FY8" s="1850" t="s">
        <v>2514</v>
      </c>
      <c r="FZ8" s="1850" t="s">
        <v>2514</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1472</v>
      </c>
      <c r="HU8" s="1850" t="s">
        <v>1472</v>
      </c>
      <c r="HV8" s="1850" t="s">
        <v>1472</v>
      </c>
      <c r="HW8" s="1850" t="s">
        <v>1472</v>
      </c>
      <c r="HX8" s="1850" t="s">
        <v>1472</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1307</v>
      </c>
      <c r="C9" s="1586" t="s">
        <v>172</v>
      </c>
      <c r="D9" s="1586" t="s">
        <v>174</v>
      </c>
      <c r="E9" s="1586" t="s">
        <v>1488</v>
      </c>
      <c r="F9" s="1586" t="s">
        <v>1290</v>
      </c>
      <c r="G9" s="1586" t="s">
        <v>3693</v>
      </c>
      <c r="H9" s="1586" t="s">
        <v>1489</v>
      </c>
      <c r="I9" s="1868"/>
      <c r="J9" s="465" t="s">
        <v>352</v>
      </c>
      <c r="K9" s="1586" t="s">
        <v>1541</v>
      </c>
      <c r="L9" s="1586" t="s">
        <v>543</v>
      </c>
      <c r="M9" s="1586" t="s">
        <v>1487</v>
      </c>
      <c r="N9" s="1586" t="s">
        <v>3336</v>
      </c>
      <c r="O9" s="1586" t="s">
        <v>386</v>
      </c>
      <c r="P9" s="1853"/>
      <c r="Q9" s="1586" t="s">
        <v>3598</v>
      </c>
      <c r="R9" s="1586" t="s">
        <v>1049</v>
      </c>
      <c r="S9" s="1586" t="s">
        <v>1489</v>
      </c>
      <c r="T9" s="1586" t="s">
        <v>2713</v>
      </c>
      <c r="U9" s="1699" t="s">
        <v>1858</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2511</v>
      </c>
      <c r="EY9" s="473" t="s">
        <v>2511</v>
      </c>
      <c r="EZ9" s="473" t="s">
        <v>2511</v>
      </c>
      <c r="FA9" s="473" t="s">
        <v>2511</v>
      </c>
      <c r="FB9" s="1850"/>
      <c r="FC9" s="1850"/>
      <c r="FD9" s="1850"/>
      <c r="FE9" s="1850"/>
      <c r="FF9" s="1850"/>
      <c r="FG9" s="1850"/>
      <c r="FH9" s="1850"/>
      <c r="FI9" s="1850"/>
      <c r="FJ9" s="1850"/>
      <c r="FK9" s="1850"/>
      <c r="FL9" s="473" t="s">
        <v>2513</v>
      </c>
      <c r="FM9" s="473" t="s">
        <v>2513</v>
      </c>
      <c r="FN9" s="473" t="s">
        <v>2513</v>
      </c>
      <c r="FO9" s="473" t="s">
        <v>2513</v>
      </c>
      <c r="FP9" s="473" t="s">
        <v>2513</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3</v>
      </c>
      <c r="F10" s="3244">
        <v>654</v>
      </c>
      <c r="G10" s="3244">
        <v>436</v>
      </c>
      <c r="H10" s="3244">
        <v>265</v>
      </c>
      <c r="I10" s="3245">
        <f>IF(C10="",0,HLOOKUP(C10,'Part V-Utility Allowances'!$I$11:$M$21,11))</f>
        <v>60</v>
      </c>
      <c r="J10" s="3246"/>
      <c r="K10" s="629">
        <f t="shared" ref="K10:K47" si="1">MAX(0,H10-I10)</f>
        <v>205</v>
      </c>
      <c r="L10" s="629">
        <f t="shared" ref="L10:L47" si="2">MAX(0,E10*K10)</f>
        <v>615</v>
      </c>
      <c r="M10" s="3247" t="s">
        <v>3013</v>
      </c>
      <c r="N10" s="3247" t="s">
        <v>2620</v>
      </c>
      <c r="O10" s="3247" t="s">
        <v>4641</v>
      </c>
      <c r="P10" s="3248" t="s">
        <v>3013</v>
      </c>
      <c r="Q10" s="3249">
        <f t="shared" ref="Q10:Q47" si="3">IF(H10="","",H10*12/0.3)</f>
        <v>10600</v>
      </c>
      <c r="R10" s="3250">
        <f>IF(H10="","",IF(C10="Efficiency",Q10/($O$6*VLOOKUP(0,'DCA Underwriting Assumptions'!$J$143:$K$148,2,FALSE)),Q10/($O$6*VLOOKUP(C10,'DCA Underwriting Assumptions'!$J$143:$K$148,2,FALSE))))</f>
        <v>0.31975867269984914</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3</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1962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3</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3</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3</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3</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1</v>
      </c>
      <c r="E11" s="3256">
        <v>4</v>
      </c>
      <c r="F11" s="3256">
        <v>848</v>
      </c>
      <c r="G11" s="3256">
        <v>523</v>
      </c>
      <c r="H11" s="3256">
        <v>514</v>
      </c>
      <c r="I11" s="3257">
        <f>IF(C11="",0,HLOOKUP(C11,'Part V-Utility Allowances'!$I$11:$M$21,11))</f>
        <v>77</v>
      </c>
      <c r="J11" s="3258"/>
      <c r="K11" s="630">
        <f t="shared" si="1"/>
        <v>437</v>
      </c>
      <c r="L11" s="630">
        <f t="shared" si="2"/>
        <v>1748</v>
      </c>
      <c r="M11" s="3259" t="s">
        <v>3013</v>
      </c>
      <c r="N11" s="3259" t="s">
        <v>2621</v>
      </c>
      <c r="O11" s="3259" t="s">
        <v>4641</v>
      </c>
      <c r="P11" s="3260" t="s">
        <v>3013</v>
      </c>
      <c r="Q11" s="3261">
        <f t="shared" si="3"/>
        <v>20560</v>
      </c>
      <c r="R11" s="3262">
        <f>IF(H11="","",IF(C11="Efficiency",Q11/($O$6*VLOOKUP(0,'DCA Underwriting Assumptions'!$J$143:$K$148,2,FALSE)),Q11/($O$6*VLOOKUP(C11,'DCA Underwriting Assumptions'!$J$143:$K$148,2,FALSE))))</f>
        <v>0.51684263448969336</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4</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3392</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4</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4</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f t="shared" si="191"/>
        <v>4</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4</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119</v>
      </c>
      <c r="C12" s="3254">
        <v>3</v>
      </c>
      <c r="D12" s="3255">
        <v>2</v>
      </c>
      <c r="E12" s="3256">
        <v>1</v>
      </c>
      <c r="F12" s="3256">
        <v>1054</v>
      </c>
      <c r="G12" s="3256">
        <v>605</v>
      </c>
      <c r="H12" s="3256">
        <v>574</v>
      </c>
      <c r="I12" s="3257">
        <f>IF(C12="",0,HLOOKUP(C12,'Part V-Utility Allowances'!$I$11:$M$21,11))</f>
        <v>98</v>
      </c>
      <c r="J12" s="3258"/>
      <c r="K12" s="630">
        <f t="shared" si="1"/>
        <v>476</v>
      </c>
      <c r="L12" s="630">
        <f t="shared" si="2"/>
        <v>476</v>
      </c>
      <c r="M12" s="3259" t="s">
        <v>3013</v>
      </c>
      <c r="N12" s="3259" t="s">
        <v>2621</v>
      </c>
      <c r="O12" s="3259" t="s">
        <v>4641</v>
      </c>
      <c r="P12" s="3260" t="s">
        <v>3013</v>
      </c>
      <c r="Q12" s="3261">
        <f t="shared" si="3"/>
        <v>22960</v>
      </c>
      <c r="R12" s="3262">
        <f>IF(H12="","",IF(C12="Efficiency",Q12/($O$6*VLOOKUP(0,'DCA Underwriting Assumptions'!$J$143:$K$148,2,FALSE)),Q12/($O$6*VLOOKUP(C12,'DCA Underwriting Assumptions'!$J$143:$K$148,2,FALSE))))</f>
        <v>0.49947789766794293</v>
      </c>
      <c r="S12" s="3263"/>
      <c r="T12" s="3264"/>
      <c r="U12" s="3219"/>
      <c r="V12" s="322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1</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1054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1</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1</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f t="shared" si="192"/>
        <v>1</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1</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1158</v>
      </c>
      <c r="C13" s="3254">
        <v>1</v>
      </c>
      <c r="D13" s="3255">
        <v>1</v>
      </c>
      <c r="E13" s="3256">
        <v>9</v>
      </c>
      <c r="F13" s="3256">
        <v>654</v>
      </c>
      <c r="G13" s="3256">
        <v>479</v>
      </c>
      <c r="H13" s="3256">
        <v>449</v>
      </c>
      <c r="I13" s="3257">
        <f>IF(C13="",0,HLOOKUP(C13,'Part V-Utility Allowances'!$I$11:$M$21,11))</f>
        <v>60</v>
      </c>
      <c r="J13" s="3258"/>
      <c r="K13" s="630">
        <f t="shared" si="1"/>
        <v>389</v>
      </c>
      <c r="L13" s="630">
        <f t="shared" si="2"/>
        <v>3501</v>
      </c>
      <c r="M13" s="3259" t="s">
        <v>3013</v>
      </c>
      <c r="N13" s="3259" t="s">
        <v>2620</v>
      </c>
      <c r="O13" s="3259" t="s">
        <v>4641</v>
      </c>
      <c r="P13" s="3260" t="s">
        <v>3013</v>
      </c>
      <c r="Q13" s="3261">
        <f t="shared" si="3"/>
        <v>17960</v>
      </c>
      <c r="R13" s="3262">
        <f>IF(H13="","",IF(C13="Efficiency",Q13/($O$6*VLOOKUP(0,'DCA Underwriting Assumptions'!$J$143:$K$148,2,FALSE)),Q13/($O$6*VLOOKUP(C13,'DCA Underwriting Assumptions'!$J$143:$K$148,2,FALSE))))</f>
        <v>0.54177978883861233</v>
      </c>
      <c r="S13" s="3263"/>
      <c r="T13" s="3264"/>
      <c r="U13" s="3219"/>
      <c r="V13" s="3220"/>
      <c r="W13" s="152" t="str">
        <f t="shared" si="4"/>
        <v/>
      </c>
      <c r="X13" s="152">
        <f t="shared" si="5"/>
        <v>9</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5886</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f t="shared" si="105"/>
        <v>9</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9</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f t="shared" si="180"/>
        <v>9</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9</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1158</v>
      </c>
      <c r="C14" s="3254">
        <v>2</v>
      </c>
      <c r="D14" s="3255">
        <v>1</v>
      </c>
      <c r="E14" s="3256">
        <v>5</v>
      </c>
      <c r="F14" s="3256">
        <v>848</v>
      </c>
      <c r="G14" s="3256">
        <v>596</v>
      </c>
      <c r="H14" s="3256">
        <v>514</v>
      </c>
      <c r="I14" s="3257">
        <f>IF(C14="",0,HLOOKUP(C14,'Part V-Utility Allowances'!$I$11:$M$21,11))</f>
        <v>77</v>
      </c>
      <c r="J14" s="3258"/>
      <c r="K14" s="630">
        <f t="shared" si="1"/>
        <v>437</v>
      </c>
      <c r="L14" s="630">
        <f t="shared" si="2"/>
        <v>2185</v>
      </c>
      <c r="M14" s="3259" t="s">
        <v>3013</v>
      </c>
      <c r="N14" s="3259" t="s">
        <v>2621</v>
      </c>
      <c r="O14" s="3259" t="s">
        <v>4641</v>
      </c>
      <c r="P14" s="3260" t="s">
        <v>3013</v>
      </c>
      <c r="Q14" s="3261">
        <f t="shared" si="3"/>
        <v>20560</v>
      </c>
      <c r="R14" s="3262">
        <f>IF(H14="","",IF(C14="Efficiency",Q14/($O$6*VLOOKUP(0,'DCA Underwriting Assumptions'!$J$143:$K$148,2,FALSE)),Q14/($O$6*VLOOKUP(C14,'DCA Underwriting Assumptions'!$J$143:$K$148,2,FALSE))))</f>
        <v>0.51684263448969336</v>
      </c>
      <c r="S14" s="3263"/>
      <c r="T14" s="3264"/>
      <c r="U14" s="3219"/>
      <c r="V14" s="3220"/>
      <c r="W14" s="152" t="str">
        <f t="shared" si="4"/>
        <v/>
      </c>
      <c r="X14" s="152" t="str">
        <f t="shared" si="5"/>
        <v/>
      </c>
      <c r="Y14" s="152">
        <f t="shared" si="6"/>
        <v>5</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4240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f t="shared" si="106"/>
        <v>5</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5</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f t="shared" si="191"/>
        <v>5</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5</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1158</v>
      </c>
      <c r="C15" s="3254">
        <v>3</v>
      </c>
      <c r="D15" s="3255">
        <v>2</v>
      </c>
      <c r="E15" s="3256">
        <v>6</v>
      </c>
      <c r="F15" s="3256">
        <v>1053</v>
      </c>
      <c r="G15" s="3256">
        <v>726</v>
      </c>
      <c r="H15" s="3256">
        <v>574</v>
      </c>
      <c r="I15" s="3257">
        <f>IF(C15="",0,HLOOKUP(C15,'Part V-Utility Allowances'!$I$11:$M$21,11))</f>
        <v>98</v>
      </c>
      <c r="J15" s="3258"/>
      <c r="K15" s="630">
        <f t="shared" si="1"/>
        <v>476</v>
      </c>
      <c r="L15" s="630">
        <f t="shared" si="2"/>
        <v>2856</v>
      </c>
      <c r="M15" s="3259" t="s">
        <v>3013</v>
      </c>
      <c r="N15" s="3259" t="s">
        <v>2621</v>
      </c>
      <c r="O15" s="3259" t="s">
        <v>4641</v>
      </c>
      <c r="P15" s="3260" t="s">
        <v>3013</v>
      </c>
      <c r="Q15" s="3261">
        <f t="shared" si="3"/>
        <v>22960</v>
      </c>
      <c r="R15" s="3262">
        <f>IF(H15="","",IF(C15="Efficiency",Q15/($O$6*VLOOKUP(0,'DCA Underwriting Assumptions'!$J$143:$K$148,2,FALSE)),Q15/($O$6*VLOOKUP(C15,'DCA Underwriting Assumptions'!$J$143:$K$148,2,FALSE))))</f>
        <v>0.49947789766794293</v>
      </c>
      <c r="S15" s="3263"/>
      <c r="T15" s="3264"/>
      <c r="U15" s="3219"/>
      <c r="V15" s="3220"/>
      <c r="W15" s="152" t="str">
        <f t="shared" si="4"/>
        <v/>
      </c>
      <c r="X15" s="152" t="str">
        <f t="shared" si="5"/>
        <v/>
      </c>
      <c r="Y15" s="152" t="str">
        <f t="shared" si="6"/>
        <v/>
      </c>
      <c r="Z15" s="152">
        <f t="shared" si="7"/>
        <v>6</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6318</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f t="shared" si="107"/>
        <v>6</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6</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f t="shared" si="192"/>
        <v>6</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6</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1158</v>
      </c>
      <c r="C16" s="3254">
        <v>1</v>
      </c>
      <c r="D16" s="3255">
        <v>1</v>
      </c>
      <c r="E16" s="3256">
        <v>8</v>
      </c>
      <c r="F16" s="3256">
        <v>654</v>
      </c>
      <c r="G16" s="3256">
        <v>479</v>
      </c>
      <c r="H16" s="3256">
        <v>454</v>
      </c>
      <c r="I16" s="3257">
        <f>IF(C16="",0,HLOOKUP(C16,'Part V-Utility Allowances'!$I$11:$M$21,11))</f>
        <v>60</v>
      </c>
      <c r="J16" s="3258"/>
      <c r="K16" s="630">
        <f t="shared" si="1"/>
        <v>394</v>
      </c>
      <c r="L16" s="630">
        <f t="shared" si="2"/>
        <v>3152</v>
      </c>
      <c r="M16" s="3259" t="s">
        <v>3013</v>
      </c>
      <c r="N16" s="3259" t="s">
        <v>2621</v>
      </c>
      <c r="O16" s="3259" t="s">
        <v>4641</v>
      </c>
      <c r="P16" s="3260" t="s">
        <v>3013</v>
      </c>
      <c r="Q16" s="3261">
        <f t="shared" si="3"/>
        <v>18160</v>
      </c>
      <c r="R16" s="3262">
        <f>IF(H16="","",IF(C16="Efficiency",Q16/($O$6*VLOOKUP(0,'DCA Underwriting Assumptions'!$J$143:$K$148,2,FALSE)),Q16/($O$6*VLOOKUP(C16,'DCA Underwriting Assumptions'!$J$143:$K$148,2,FALSE))))</f>
        <v>0.54781297134238316</v>
      </c>
      <c r="S16" s="3263"/>
      <c r="T16" s="3264"/>
      <c r="U16" s="3219"/>
      <c r="V16" s="3220"/>
      <c r="W16" s="152" t="str">
        <f t="shared" si="4"/>
        <v/>
      </c>
      <c r="X16" s="152">
        <f t="shared" si="5"/>
        <v>8</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f t="shared" si="60"/>
        <v>5232</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f t="shared" si="105"/>
        <v>8</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8</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f t="shared" si="190"/>
        <v>8</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8</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1158</v>
      </c>
      <c r="C17" s="3254">
        <v>2</v>
      </c>
      <c r="D17" s="3255">
        <v>1</v>
      </c>
      <c r="E17" s="3256">
        <v>7</v>
      </c>
      <c r="F17" s="3256">
        <v>848</v>
      </c>
      <c r="G17" s="3256">
        <v>596</v>
      </c>
      <c r="H17" s="3256">
        <v>519</v>
      </c>
      <c r="I17" s="3257">
        <f>IF(C17="",0,HLOOKUP(C17,'Part V-Utility Allowances'!$I$11:$M$21,11))</f>
        <v>77</v>
      </c>
      <c r="J17" s="3258"/>
      <c r="K17" s="630">
        <f t="shared" si="1"/>
        <v>442</v>
      </c>
      <c r="L17" s="630">
        <f t="shared" si="2"/>
        <v>3094</v>
      </c>
      <c r="M17" s="3259" t="s">
        <v>3013</v>
      </c>
      <c r="N17" s="3259" t="s">
        <v>2621</v>
      </c>
      <c r="O17" s="3259" t="s">
        <v>4641</v>
      </c>
      <c r="P17" s="3260" t="s">
        <v>3013</v>
      </c>
      <c r="Q17" s="3261">
        <f t="shared" si="3"/>
        <v>20760</v>
      </c>
      <c r="R17" s="3262">
        <f>IF(H17="","",IF(C17="Efficiency",Q17/($O$6*VLOOKUP(0,'DCA Underwriting Assumptions'!$J$143:$K$148,2,FALSE)),Q17/($O$6*VLOOKUP(C17,'DCA Underwriting Assumptions'!$J$143:$K$148,2,FALSE))))</f>
        <v>0.52187028657616896</v>
      </c>
      <c r="S17" s="3263"/>
      <c r="T17" s="3264"/>
      <c r="U17" s="3219"/>
      <c r="V17" s="3220"/>
      <c r="W17" s="152" t="str">
        <f t="shared" si="4"/>
        <v/>
      </c>
      <c r="X17" s="152" t="str">
        <f t="shared" si="5"/>
        <v/>
      </c>
      <c r="Y17" s="152">
        <f t="shared" si="6"/>
        <v>7</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f t="shared" si="61"/>
        <v>5936</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f t="shared" si="106"/>
        <v>7</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7</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f t="shared" si="191"/>
        <v>7</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7</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1158</v>
      </c>
      <c r="C18" s="3254">
        <v>3</v>
      </c>
      <c r="D18" s="3255">
        <v>2</v>
      </c>
      <c r="E18" s="3256">
        <v>5</v>
      </c>
      <c r="F18" s="3256">
        <v>1053</v>
      </c>
      <c r="G18" s="3256">
        <v>726</v>
      </c>
      <c r="H18" s="3256">
        <v>579</v>
      </c>
      <c r="I18" s="3257">
        <f>IF(C18="",0,HLOOKUP(C18,'Part V-Utility Allowances'!$I$11:$M$21,11))</f>
        <v>98</v>
      </c>
      <c r="J18" s="3258"/>
      <c r="K18" s="630">
        <f t="shared" si="1"/>
        <v>481</v>
      </c>
      <c r="L18" s="630">
        <f t="shared" si="2"/>
        <v>2405</v>
      </c>
      <c r="M18" s="3259" t="s">
        <v>3013</v>
      </c>
      <c r="N18" s="3259" t="s">
        <v>2621</v>
      </c>
      <c r="O18" s="3259" t="s">
        <v>4641</v>
      </c>
      <c r="P18" s="3260" t="s">
        <v>3013</v>
      </c>
      <c r="Q18" s="3261">
        <f t="shared" si="3"/>
        <v>23160</v>
      </c>
      <c r="R18" s="3262">
        <f>IF(H18="","",IF(C18="Efficiency",Q18/($O$6*VLOOKUP(0,'DCA Underwriting Assumptions'!$J$143:$K$148,2,FALSE)),Q18/($O$6*VLOOKUP(C18,'DCA Underwriting Assumptions'!$J$143:$K$148,2,FALSE))))</f>
        <v>0.50382875043508524</v>
      </c>
      <c r="S18" s="3263"/>
      <c r="T18" s="3264"/>
      <c r="U18" s="3219"/>
      <c r="V18" s="3220"/>
      <c r="W18" s="152" t="str">
        <f t="shared" si="4"/>
        <v/>
      </c>
      <c r="X18" s="152" t="str">
        <f t="shared" si="5"/>
        <v/>
      </c>
      <c r="Y18" s="152" t="str">
        <f t="shared" si="6"/>
        <v/>
      </c>
      <c r="Z18" s="152">
        <f t="shared" si="7"/>
        <v>5</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f t="shared" si="62"/>
        <v>5265</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5</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5</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f t="shared" si="192"/>
        <v>5</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5</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1783</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1783</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1783</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1783</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1783</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1783</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1783</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1783</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1783</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1783</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1783</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1783</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1783</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1783</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1783</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1783</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1783</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1783</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1783</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1783</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1783</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1783</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1783</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1783</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1783</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1783</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1783</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1783</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1027</v>
      </c>
      <c r="E48" s="128">
        <f>SUM(E10:E47)</f>
        <v>48</v>
      </c>
      <c r="F48" s="974">
        <f>(E10*F10+E11*F11+E12*F12+E13*F13+E14*F14+E15*F15+E16*F16+E17*F17+E18*F18+E19*F19+E20*F20+E21*F21+E22*F22+E23*F23+E24*F24+E25*F25+E26*F26+E27*F27+E28*F28+E29*F29+E30*F30+E31*F31+E32*F32+E33*F33+E34*F34+E35*F35+E36*F36+E37*F37+E38*F38+E39*F39+E40*F40+E41*F41+E42*F42+E43*F43+E44*F44+E45*F45+E46*F46+E47*F47)</f>
        <v>39285</v>
      </c>
      <c r="G48" s="603"/>
      <c r="H48" s="604"/>
      <c r="I48" s="604"/>
      <c r="J48" s="604"/>
      <c r="K48" s="977" t="s">
        <v>1313</v>
      </c>
      <c r="L48" s="127">
        <f>SUM(L10:L47)</f>
        <v>20032</v>
      </c>
      <c r="M48" s="97"/>
      <c r="N48" s="605"/>
      <c r="O48" s="97"/>
      <c r="P48" s="490"/>
      <c r="Q48" s="490"/>
      <c r="R48" s="490"/>
      <c r="S48" s="490"/>
      <c r="T48" s="490"/>
      <c r="U48" s="955"/>
      <c r="V48" s="606"/>
      <c r="W48" s="607">
        <f t="shared" ref="W48:CH48" si="259">SUM(W10:W47)</f>
        <v>0</v>
      </c>
      <c r="X48" s="607">
        <f t="shared" si="259"/>
        <v>17</v>
      </c>
      <c r="Y48" s="607">
        <f t="shared" si="259"/>
        <v>12</v>
      </c>
      <c r="Z48" s="607">
        <f t="shared" si="259"/>
        <v>11</v>
      </c>
      <c r="AA48" s="607">
        <f t="shared" si="259"/>
        <v>0</v>
      </c>
      <c r="AB48" s="607">
        <f t="shared" si="259"/>
        <v>0</v>
      </c>
      <c r="AC48" s="607">
        <f t="shared" si="259"/>
        <v>3</v>
      </c>
      <c r="AD48" s="607">
        <f t="shared" si="259"/>
        <v>4</v>
      </c>
      <c r="AE48" s="607">
        <f t="shared" si="259"/>
        <v>1</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11118</v>
      </c>
      <c r="CB48" s="607">
        <f t="shared" si="259"/>
        <v>10176</v>
      </c>
      <c r="CC48" s="607">
        <f t="shared" si="259"/>
        <v>11583</v>
      </c>
      <c r="CD48" s="607">
        <f t="shared" si="259"/>
        <v>0</v>
      </c>
      <c r="CE48" s="607">
        <f t="shared" si="259"/>
        <v>0</v>
      </c>
      <c r="CF48" s="607">
        <f t="shared" si="259"/>
        <v>1962</v>
      </c>
      <c r="CG48" s="607">
        <f t="shared" si="259"/>
        <v>3392</v>
      </c>
      <c r="CH48" s="607">
        <f t="shared" si="259"/>
        <v>1054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20</v>
      </c>
      <c r="DU48" s="607">
        <f t="shared" si="260"/>
        <v>16</v>
      </c>
      <c r="DV48" s="607">
        <f t="shared" si="260"/>
        <v>12</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20</v>
      </c>
      <c r="EY48" s="476">
        <f t="shared" si="261"/>
        <v>16</v>
      </c>
      <c r="EZ48" s="476">
        <f t="shared" si="261"/>
        <v>12</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12</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8</v>
      </c>
      <c r="HB48" s="476">
        <f t="shared" si="261"/>
        <v>16</v>
      </c>
      <c r="HC48" s="476">
        <f t="shared" si="261"/>
        <v>12</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20</v>
      </c>
      <c r="JE48" s="476">
        <f t="shared" si="262"/>
        <v>16</v>
      </c>
      <c r="JF48" s="476">
        <f t="shared" si="262"/>
        <v>12</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821</v>
      </c>
      <c r="L49" s="127">
        <f>L48*12</f>
        <v>240384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2637</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747</v>
      </c>
      <c r="B53" s="14" t="s">
        <v>538</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3"/>
      <c r="W55" s="488"/>
      <c r="Z55" s="488"/>
      <c r="AA55" s="488"/>
      <c r="AB55" s="979"/>
      <c r="AC55" s="979"/>
      <c r="AD55" s="979"/>
      <c r="AE55" s="979"/>
      <c r="AF55" s="979"/>
      <c r="AG55" s="979"/>
      <c r="AH55" s="488"/>
      <c r="AI55" s="97"/>
      <c r="IL55" s="477"/>
      <c r="JA55" s="464"/>
    </row>
    <row r="56" spans="1:296" ht="12" customHeight="1">
      <c r="C56" s="97" t="s">
        <v>1146</v>
      </c>
      <c r="D56" s="1"/>
      <c r="E56" s="1"/>
      <c r="F56" s="1"/>
      <c r="G56" s="85"/>
      <c r="H56" s="37" t="s">
        <v>1158</v>
      </c>
      <c r="I56" s="85"/>
      <c r="J56" s="1029">
        <f>W48</f>
        <v>0</v>
      </c>
      <c r="K56" s="1029">
        <f>X48</f>
        <v>17</v>
      </c>
      <c r="L56" s="1029">
        <f>Y48</f>
        <v>12</v>
      </c>
      <c r="M56" s="1029">
        <f>Z48</f>
        <v>11</v>
      </c>
      <c r="N56" s="1029">
        <f>AA48</f>
        <v>0</v>
      </c>
      <c r="O56" s="1029">
        <f t="shared" ref="O56:O62" si="263">SUM(J56:N56)</f>
        <v>40</v>
      </c>
      <c r="P56" s="1860" t="s">
        <v>3696</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3</v>
      </c>
      <c r="L57" s="636">
        <f>AD48</f>
        <v>4</v>
      </c>
      <c r="M57" s="636">
        <f>AE48</f>
        <v>1</v>
      </c>
      <c r="N57" s="636">
        <f>AF48</f>
        <v>0</v>
      </c>
      <c r="O57" s="636">
        <f t="shared" si="263"/>
        <v>8</v>
      </c>
      <c r="P57" s="1860"/>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543</v>
      </c>
      <c r="I58" s="85"/>
      <c r="J58" s="632">
        <f>SUM(J56:J57)</f>
        <v>0</v>
      </c>
      <c r="K58" s="632">
        <f>SUM(K56:K57)</f>
        <v>20</v>
      </c>
      <c r="L58" s="632">
        <f>SUM(L56:L57)</f>
        <v>16</v>
      </c>
      <c r="M58" s="632">
        <f>SUM(M56:M57)</f>
        <v>12</v>
      </c>
      <c r="N58" s="632">
        <f>SUM(N56:N57)</f>
        <v>0</v>
      </c>
      <c r="O58" s="632">
        <f t="shared" si="263"/>
        <v>48</v>
      </c>
      <c r="P58" s="1860"/>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1"/>
      <c r="B60" s="1861"/>
      <c r="C60" s="97" t="s">
        <v>1147</v>
      </c>
      <c r="D60" s="1"/>
      <c r="E60" s="1"/>
      <c r="F60" s="1"/>
      <c r="G60" s="85"/>
      <c r="H60" s="37"/>
      <c r="I60" s="85"/>
      <c r="J60" s="632">
        <f>SUM(J58:J59)</f>
        <v>0</v>
      </c>
      <c r="K60" s="632">
        <f>SUM(K58:K59)</f>
        <v>20</v>
      </c>
      <c r="L60" s="632">
        <f>SUM(L58:L59)</f>
        <v>16</v>
      </c>
      <c r="M60" s="632">
        <f>SUM(M58:M59)</f>
        <v>12</v>
      </c>
      <c r="N60" s="632">
        <f>SUM(N58:N59)</f>
        <v>0</v>
      </c>
      <c r="O60" s="632">
        <f t="shared" si="263"/>
        <v>48</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1"/>
      <c r="B61" s="1861"/>
      <c r="C61" s="97" t="s">
        <v>2527</v>
      </c>
      <c r="D61" s="1"/>
      <c r="E61" s="1"/>
      <c r="F61" s="1"/>
      <c r="G61" s="85"/>
      <c r="H61" s="37"/>
      <c r="I61" s="85"/>
      <c r="J61" s="633">
        <f>BU48</f>
        <v>0</v>
      </c>
      <c r="K61" s="633">
        <f>BV48</f>
        <v>0</v>
      </c>
      <c r="L61" s="633">
        <f>BW48</f>
        <v>0</v>
      </c>
      <c r="M61" s="633">
        <f>BX48</f>
        <v>0</v>
      </c>
      <c r="N61" s="633">
        <f>BY48</f>
        <v>0</v>
      </c>
      <c r="O61" s="633">
        <f t="shared" si="263"/>
        <v>0</v>
      </c>
      <c r="P61" s="517" t="s">
        <v>3697</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1"/>
      <c r="B62" s="1861"/>
      <c r="C62" s="97" t="s">
        <v>543</v>
      </c>
      <c r="D62" s="1"/>
      <c r="E62" s="1"/>
      <c r="F62" s="1"/>
      <c r="G62" s="85"/>
      <c r="H62" s="37"/>
      <c r="I62" s="85"/>
      <c r="J62" s="634">
        <f>SUM(J60:J61)</f>
        <v>0</v>
      </c>
      <c r="K62" s="634">
        <f>SUM(K60:K61)</f>
        <v>20</v>
      </c>
      <c r="L62" s="634">
        <f>SUM(L60:L61)</f>
        <v>16</v>
      </c>
      <c r="M62" s="634">
        <f>SUM(M60:M61)</f>
        <v>12</v>
      </c>
      <c r="N62" s="634">
        <f>SUM(N60:N61)</f>
        <v>0</v>
      </c>
      <c r="O62" s="634">
        <f t="shared" si="263"/>
        <v>48</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942</v>
      </c>
      <c r="D64" s="1"/>
      <c r="E64" s="113"/>
      <c r="F64" s="1"/>
      <c r="G64" s="85"/>
      <c r="H64" s="37" t="s">
        <v>1158</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1"/>
      <c r="B65" s="1861"/>
      <c r="C65" s="37" t="s">
        <v>2528</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543</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898</v>
      </c>
      <c r="D68" s="1862"/>
      <c r="E68" s="1862"/>
      <c r="F68" s="1"/>
      <c r="G68" s="85"/>
      <c r="H68" s="37" t="s">
        <v>1158</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1"/>
      <c r="B70" s="1861"/>
      <c r="C70" s="37" t="s">
        <v>2528</v>
      </c>
      <c r="D70" s="1"/>
      <c r="E70" s="113"/>
      <c r="F70" s="1"/>
      <c r="G70" s="85"/>
      <c r="H70" s="37" t="s">
        <v>543</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2310</v>
      </c>
      <c r="F72" s="1"/>
      <c r="G72" s="85"/>
      <c r="H72" s="37" t="s">
        <v>1443</v>
      </c>
      <c r="I72" s="85"/>
      <c r="J72" s="632">
        <f>DD48</f>
        <v>0</v>
      </c>
      <c r="K72" s="632">
        <f>DE48</f>
        <v>0</v>
      </c>
      <c r="L72" s="632">
        <f>DF48</f>
        <v>0</v>
      </c>
      <c r="M72" s="632">
        <f>DG48</f>
        <v>0</v>
      </c>
      <c r="N72" s="632">
        <f>DH48</f>
        <v>0</v>
      </c>
      <c r="O72" s="632">
        <f t="shared" ref="O72:O82" si="264">SUM(J72:N72)</f>
        <v>0</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0</v>
      </c>
      <c r="L74" s="634">
        <f>SUM(L72:L73)+DP48</f>
        <v>0</v>
      </c>
      <c r="M74" s="634">
        <f>SUM(M72:M73)+DQ48</f>
        <v>0</v>
      </c>
      <c r="N74" s="634">
        <f>SUM(N72:N73)+DR48</f>
        <v>0</v>
      </c>
      <c r="O74" s="634">
        <f t="shared" si="264"/>
        <v>0</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1"/>
      <c r="B75" s="1861"/>
      <c r="C75" s="1863"/>
      <c r="D75" s="1863"/>
      <c r="E75" s="106" t="s">
        <v>2152</v>
      </c>
      <c r="F75" s="1"/>
      <c r="G75" s="85"/>
      <c r="H75" s="37" t="s">
        <v>1443</v>
      </c>
      <c r="I75" s="85"/>
      <c r="J75" s="632">
        <f>DS48</f>
        <v>0</v>
      </c>
      <c r="K75" s="632">
        <f>DT48</f>
        <v>20</v>
      </c>
      <c r="L75" s="632">
        <f>DU48</f>
        <v>16</v>
      </c>
      <c r="M75" s="632">
        <f>DV48</f>
        <v>12</v>
      </c>
      <c r="N75" s="632">
        <f>DW48</f>
        <v>0</v>
      </c>
      <c r="O75" s="632">
        <f t="shared" si="264"/>
        <v>48</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20</v>
      </c>
      <c r="L77" s="634">
        <f>SUM(L75:L76)+EE48</f>
        <v>16</v>
      </c>
      <c r="M77" s="634">
        <f>SUM(M75:M76)+EF48</f>
        <v>12</v>
      </c>
      <c r="N77" s="634">
        <f>SUM(N75:N76)+EG48</f>
        <v>0</v>
      </c>
      <c r="O77" s="634">
        <f t="shared" si="264"/>
        <v>48</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1"/>
      <c r="B78" s="1861"/>
      <c r="C78" s="975"/>
      <c r="D78" s="1"/>
      <c r="E78" s="1864" t="s">
        <v>1430</v>
      </c>
      <c r="F78" s="1864"/>
      <c r="G78" s="85"/>
      <c r="H78" s="37" t="s">
        <v>1443</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4137</v>
      </c>
      <c r="D86" s="1869"/>
      <c r="E86" s="1263" t="s">
        <v>40</v>
      </c>
      <c r="F86" s="1059"/>
      <c r="G86" s="1264"/>
      <c r="H86" s="1265"/>
      <c r="I86" s="1266"/>
      <c r="J86" s="645">
        <f t="shared" ref="J86:O86" si="265">SUM(J87:J94)</f>
        <v>0</v>
      </c>
      <c r="K86" s="645">
        <f t="shared" si="265"/>
        <v>20</v>
      </c>
      <c r="L86" s="645">
        <f t="shared" si="265"/>
        <v>16</v>
      </c>
      <c r="M86" s="645">
        <f t="shared" si="265"/>
        <v>12</v>
      </c>
      <c r="N86" s="645">
        <f t="shared" si="265"/>
        <v>0</v>
      </c>
      <c r="O86" s="645">
        <f t="shared" si="265"/>
        <v>48</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2620</v>
      </c>
      <c r="I87" s="1267"/>
      <c r="J87" s="1022">
        <f>GP48</f>
        <v>0</v>
      </c>
      <c r="K87" s="1022">
        <f>GQ48</f>
        <v>12</v>
      </c>
      <c r="L87" s="1022">
        <f>GR48</f>
        <v>0</v>
      </c>
      <c r="M87" s="1022">
        <f>GS48</f>
        <v>0</v>
      </c>
      <c r="N87" s="1022">
        <f>GT48</f>
        <v>0</v>
      </c>
      <c r="O87" s="1022">
        <f t="shared" ref="O87:O102" si="266">SUM(J87:N87)</f>
        <v>12</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2621</v>
      </c>
      <c r="I89" s="1267"/>
      <c r="J89" s="1022">
        <f>GZ48</f>
        <v>0</v>
      </c>
      <c r="K89" s="1022">
        <f>HA48</f>
        <v>8</v>
      </c>
      <c r="L89" s="1022">
        <f>HB48</f>
        <v>16</v>
      </c>
      <c r="M89" s="1022">
        <f>HC48</f>
        <v>12</v>
      </c>
      <c r="N89" s="1022">
        <f>HD48</f>
        <v>0</v>
      </c>
      <c r="O89" s="637">
        <f t="shared" si="266"/>
        <v>36</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2623</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2622</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569</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570</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4136</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12</v>
      </c>
      <c r="L106" s="1025">
        <f t="shared" si="269"/>
        <v>0</v>
      </c>
      <c r="M106" s="1025">
        <f t="shared" si="269"/>
        <v>0</v>
      </c>
      <c r="N106" s="1025">
        <f t="shared" si="269"/>
        <v>0</v>
      </c>
      <c r="O106" s="1025">
        <f t="shared" si="268"/>
        <v>12</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8</v>
      </c>
      <c r="L110" s="1025">
        <f t="shared" si="271"/>
        <v>16</v>
      </c>
      <c r="M110" s="1025">
        <f t="shared" si="271"/>
        <v>12</v>
      </c>
      <c r="N110" s="1025">
        <f t="shared" si="271"/>
        <v>0</v>
      </c>
      <c r="O110" s="1025">
        <f t="shared" si="268"/>
        <v>36</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2180</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2151</v>
      </c>
      <c r="D113" s="1"/>
      <c r="E113" s="1"/>
      <c r="F113" s="1"/>
      <c r="G113" s="85"/>
      <c r="H113" s="41" t="s">
        <v>1158</v>
      </c>
      <c r="I113" s="85"/>
      <c r="J113" s="1027">
        <f>BZ48</f>
        <v>0</v>
      </c>
      <c r="K113" s="1027">
        <f>CA48</f>
        <v>11118</v>
      </c>
      <c r="L113" s="1027">
        <f>CB48</f>
        <v>10176</v>
      </c>
      <c r="M113" s="1027">
        <f>CC48</f>
        <v>11583</v>
      </c>
      <c r="N113" s="1027">
        <f>CD48</f>
        <v>0</v>
      </c>
      <c r="O113" s="1027">
        <f t="shared" ref="O113:O119" si="272">SUM(J113:N113)</f>
        <v>32877</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1962</v>
      </c>
      <c r="L114" s="1028">
        <f>CG48</f>
        <v>3392</v>
      </c>
      <c r="M114" s="1028">
        <f>CH48</f>
        <v>1054</v>
      </c>
      <c r="N114" s="1028">
        <f>CI48</f>
        <v>0</v>
      </c>
      <c r="O114" s="1028">
        <f t="shared" si="272"/>
        <v>6408</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543</v>
      </c>
      <c r="I115" s="85"/>
      <c r="J115" s="641">
        <f>SUM(J113:J114)</f>
        <v>0</v>
      </c>
      <c r="K115" s="641">
        <f>SUM(K113:K114)</f>
        <v>13080</v>
      </c>
      <c r="L115" s="641">
        <f>SUM(L113:L114)</f>
        <v>13568</v>
      </c>
      <c r="M115" s="641">
        <f>SUM(M113:M114)</f>
        <v>12637</v>
      </c>
      <c r="N115" s="641">
        <f>SUM(N113:N114)</f>
        <v>0</v>
      </c>
      <c r="O115" s="641">
        <f t="shared" si="272"/>
        <v>39285</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1147</v>
      </c>
      <c r="D117" s="1"/>
      <c r="E117" s="1"/>
      <c r="F117" s="1"/>
      <c r="G117" s="1"/>
      <c r="H117" s="85"/>
      <c r="I117" s="85"/>
      <c r="J117" s="641">
        <f>SUM(J115:J116)</f>
        <v>0</v>
      </c>
      <c r="K117" s="641">
        <f>SUM(K115:K116)</f>
        <v>13080</v>
      </c>
      <c r="L117" s="641">
        <f>SUM(L115:L116)</f>
        <v>13568</v>
      </c>
      <c r="M117" s="641">
        <f>SUM(M115:M116)</f>
        <v>12637</v>
      </c>
      <c r="N117" s="641">
        <f>SUM(N115:N116)</f>
        <v>0</v>
      </c>
      <c r="O117" s="641">
        <f t="shared" si="272"/>
        <v>39285</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543</v>
      </c>
      <c r="D119" s="1"/>
      <c r="E119" s="1"/>
      <c r="F119" s="1"/>
      <c r="G119" s="1"/>
      <c r="H119" s="85"/>
      <c r="I119" s="85"/>
      <c r="J119" s="643">
        <f>SUM(J117:J118)</f>
        <v>0</v>
      </c>
      <c r="K119" s="643">
        <f>SUM(K117:K118)</f>
        <v>13080</v>
      </c>
      <c r="L119" s="643">
        <f>SUM(L117:L118)</f>
        <v>13568</v>
      </c>
      <c r="M119" s="643">
        <f>SUM(M117:M118)</f>
        <v>12637</v>
      </c>
      <c r="N119" s="643">
        <f>SUM(N117:N118)</f>
        <v>0</v>
      </c>
      <c r="O119" s="643">
        <f t="shared" si="272"/>
        <v>39285</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749</v>
      </c>
      <c r="B120" s="14" t="s">
        <v>227</v>
      </c>
      <c r="P120" s="8"/>
      <c r="Q120" s="8"/>
      <c r="R120" s="14" t="s">
        <v>1858</v>
      </c>
      <c r="T120" s="423"/>
      <c r="GT120" s="464"/>
      <c r="GY120" s="464"/>
      <c r="IE120" s="473"/>
      <c r="IK120" s="464"/>
      <c r="IL120" s="477"/>
      <c r="JA120" s="464"/>
      <c r="JC120" s="477"/>
    </row>
    <row r="121" spans="1:263" ht="2.25" customHeight="1">
      <c r="P121" s="423"/>
      <c r="Q121" s="423"/>
    </row>
    <row r="122" spans="1:263" ht="11.25" customHeight="1">
      <c r="B122" s="980" t="s">
        <v>1025</v>
      </c>
      <c r="C122" s="92"/>
      <c r="D122" s="113"/>
      <c r="E122" s="92"/>
      <c r="F122" s="92"/>
      <c r="G122" s="92"/>
      <c r="H122" s="3284">
        <f>'Part VII-Pro Forma'!B9*L49</f>
        <v>4807.68</v>
      </c>
      <c r="I122" s="3285"/>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1456</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2301</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1026</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748</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936</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748</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2301</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1026</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748</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936</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748</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2301</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1026</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748</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936</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748</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2301</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1026</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748</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936</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748</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2211</v>
      </c>
      <c r="C164" s="1"/>
      <c r="D164" s="1"/>
      <c r="E164" s="1"/>
      <c r="F164" s="3293">
        <v>19000</v>
      </c>
      <c r="G164" s="3294"/>
      <c r="H164" s="1"/>
      <c r="I164" s="1" t="s">
        <v>1389</v>
      </c>
      <c r="J164" s="1"/>
      <c r="K164" s="3293"/>
      <c r="L164" s="3294"/>
      <c r="M164" s="1"/>
      <c r="N164" s="1" t="s">
        <v>937</v>
      </c>
      <c r="O164" s="1"/>
      <c r="P164" s="3295">
        <v>10000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1378</v>
      </c>
      <c r="C165" s="1"/>
      <c r="D165" s="1"/>
      <c r="E165" s="1"/>
      <c r="F165" s="3293">
        <v>7546</v>
      </c>
      <c r="G165" s="3294"/>
      <c r="H165" s="1"/>
      <c r="I165" s="1" t="s">
        <v>1390</v>
      </c>
      <c r="J165" s="1"/>
      <c r="K165" s="3293">
        <v>5000</v>
      </c>
      <c r="L165" s="3294"/>
      <c r="M165" s="1"/>
      <c r="N165" s="1" t="s">
        <v>148</v>
      </c>
      <c r="O165" s="1"/>
      <c r="P165" s="3295">
        <v>9598</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1250</v>
      </c>
      <c r="C166" s="1"/>
      <c r="D166" s="1"/>
      <c r="E166" s="1"/>
      <c r="F166" s="3293">
        <v>1000</v>
      </c>
      <c r="G166" s="3294"/>
      <c r="H166" s="1"/>
      <c r="I166" s="1"/>
      <c r="J166" s="126" t="s">
        <v>193</v>
      </c>
      <c r="K166" s="1871">
        <f>SUM(K164:L165)</f>
        <v>5000</v>
      </c>
      <c r="L166" s="1872"/>
      <c r="M166" s="1"/>
      <c r="N166" s="3296" t="s">
        <v>4642</v>
      </c>
      <c r="O166" s="3297"/>
      <c r="P166" s="3298">
        <v>1728</v>
      </c>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4604</v>
      </c>
      <c r="C167" s="3300"/>
      <c r="D167" s="3300"/>
      <c r="E167" s="3301"/>
      <c r="F167" s="3302">
        <v>2104</v>
      </c>
      <c r="G167" s="3303"/>
      <c r="H167" s="1"/>
      <c r="I167" s="1"/>
      <c r="J167" s="1"/>
      <c r="K167" s="1"/>
      <c r="L167" s="1"/>
      <c r="M167" s="1"/>
      <c r="N167" s="12" t="s">
        <v>193</v>
      </c>
      <c r="O167" s="1"/>
      <c r="P167" s="419">
        <f>SUM(P164:P166)</f>
        <v>21326</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29650</v>
      </c>
      <c r="G168" s="1872"/>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18">
        <f>IF(OR('Part VII-Pro Forma'!$B$20 = "Choose Mgt Fee",'Part VII-Pro Forma'!$B$20 = "Choose One!"), 0,- 'Part VII-Pro Forma'!$B$20)</f>
        <v>24192</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1383</v>
      </c>
      <c r="C171" s="1"/>
      <c r="D171" s="9"/>
      <c r="E171" s="1"/>
      <c r="F171" s="3293">
        <v>2219</v>
      </c>
      <c r="G171" s="3294"/>
      <c r="H171" s="1"/>
      <c r="I171" s="1" t="s">
        <v>1613</v>
      </c>
      <c r="J171" s="1"/>
      <c r="K171" s="3304">
        <v>1299</v>
      </c>
      <c r="L171" s="3305"/>
      <c r="M171" s="1"/>
      <c r="N171" s="408">
        <f>+P170/(O62*0.93)</f>
        <v>541.93548387096769</v>
      </c>
      <c r="O171" s="69" t="s">
        <v>2773</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1384</v>
      </c>
      <c r="C172" s="1"/>
      <c r="D172" s="9"/>
      <c r="E172" s="1"/>
      <c r="F172" s="3293">
        <v>1500</v>
      </c>
      <c r="G172" s="3294"/>
      <c r="H172" s="1"/>
      <c r="I172" s="1" t="s">
        <v>2064</v>
      </c>
      <c r="J172" s="1"/>
      <c r="K172" s="3306">
        <v>5500</v>
      </c>
      <c r="L172" s="3307"/>
      <c r="M172" s="1"/>
      <c r="N172" s="408">
        <f>+P170/(O62*0.93)/12</f>
        <v>45.161290322580641</v>
      </c>
      <c r="O172" s="69" t="s">
        <v>2774</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1385</v>
      </c>
      <c r="C173" s="1"/>
      <c r="D173" s="9"/>
      <c r="E173" s="1"/>
      <c r="F173" s="3293">
        <v>1000</v>
      </c>
      <c r="G173" s="3294"/>
      <c r="H173" s="1"/>
      <c r="I173" s="1" t="s">
        <v>1614</v>
      </c>
      <c r="J173" s="1"/>
      <c r="K173" s="3306">
        <v>500</v>
      </c>
      <c r="L173" s="3307"/>
      <c r="M173" s="1"/>
      <c r="N173" s="37" t="s">
        <v>3758</v>
      </c>
      <c r="O173" s="1041"/>
      <c r="P173" s="1041"/>
      <c r="Q173" s="1603"/>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2356</v>
      </c>
      <c r="C174" s="1"/>
      <c r="D174" s="9"/>
      <c r="E174" s="1"/>
      <c r="F174" s="3293"/>
      <c r="G174" s="3294"/>
      <c r="H174" s="1"/>
      <c r="I174" s="3296"/>
      <c r="J174" s="3297"/>
      <c r="K174" s="3304"/>
      <c r="L174" s="3305"/>
      <c r="M174" s="1"/>
      <c r="N174" s="1041"/>
      <c r="O174" s="1041"/>
      <c r="P174" s="1041"/>
      <c r="Q174" s="1603"/>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1611</v>
      </c>
      <c r="C175" s="1"/>
      <c r="D175" s="9"/>
      <c r="E175" s="1"/>
      <c r="F175" s="3293">
        <v>1000</v>
      </c>
      <c r="G175" s="3294"/>
      <c r="H175" s="1"/>
      <c r="I175" s="10"/>
      <c r="J175" s="12" t="s">
        <v>193</v>
      </c>
      <c r="K175" s="1873">
        <f>SUM(K171:K174)</f>
        <v>7299</v>
      </c>
      <c r="L175" s="1874"/>
      <c r="M175" s="1875" t="str">
        <f>IF(P177="","",IF(P175&lt;P177, "WARNING! OE below required minimum.",""))</f>
        <v/>
      </c>
      <c r="N175" s="10" t="s">
        <v>2201</v>
      </c>
      <c r="O175" s="5"/>
      <c r="P175" s="417">
        <f>F168+F177+F188+K166+K175+K185+P167+P170</f>
        <v>153826</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52</v>
      </c>
      <c r="C176" s="3300"/>
      <c r="D176" s="3300"/>
      <c r="E176" s="3301"/>
      <c r="F176" s="3302"/>
      <c r="G176" s="3303"/>
      <c r="H176" s="1"/>
      <c r="I176" s="1"/>
      <c r="J176" s="13"/>
      <c r="K176" s="1"/>
      <c r="L176" s="1"/>
      <c r="M176" s="1875"/>
      <c r="N176" s="69" t="s">
        <v>2775</v>
      </c>
      <c r="O176" s="408">
        <f>+P175/O62</f>
        <v>3204.7083333333335</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5719</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144000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1304</v>
      </c>
      <c r="C179" s="1"/>
      <c r="D179" s="9"/>
      <c r="E179" s="1"/>
      <c r="F179" s="1"/>
      <c r="G179" s="1"/>
      <c r="H179" s="1"/>
      <c r="I179" s="10" t="s">
        <v>1386</v>
      </c>
      <c r="J179" s="1558" t="s">
        <v>2772</v>
      </c>
      <c r="K179" s="1"/>
      <c r="L179" s="1"/>
      <c r="M179" s="1"/>
      <c r="N179" s="10" t="s">
        <v>3504</v>
      </c>
      <c r="O179" s="10"/>
      <c r="P179" s="3308">
        <f>P188</f>
        <v>16800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1615</v>
      </c>
      <c r="C180" s="1"/>
      <c r="D180" s="9"/>
      <c r="E180" s="1"/>
      <c r="F180" s="3309">
        <v>6000</v>
      </c>
      <c r="G180" s="3310"/>
      <c r="H180" s="1"/>
      <c r="I180" s="1" t="s">
        <v>1379</v>
      </c>
      <c r="J180" s="481">
        <f>K180/12/O62</f>
        <v>6.9444444444444438</v>
      </c>
      <c r="K180" s="3306">
        <v>4000</v>
      </c>
      <c r="L180" s="3307"/>
      <c r="M180" s="1878" t="str">
        <f>IF(P179&lt;P188, "WARNING! RR proposed is below the DCA required minimum.","")</f>
        <v/>
      </c>
      <c r="N180" s="1064" t="s">
        <v>3767</v>
      </c>
      <c r="O180" s="1059"/>
      <c r="P180" s="1065">
        <f>P179/O188</f>
        <v>350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1616</v>
      </c>
      <c r="C181" s="1"/>
      <c r="D181" s="9"/>
      <c r="E181" s="1"/>
      <c r="F181" s="3309">
        <v>6000</v>
      </c>
      <c r="G181" s="3310"/>
      <c r="H181" s="1"/>
      <c r="I181" s="1" t="s">
        <v>1380</v>
      </c>
      <c r="J181" s="481">
        <f>K181/12/O62</f>
        <v>0</v>
      </c>
      <c r="K181" s="3306"/>
      <c r="L181" s="3307"/>
      <c r="M181" s="1878"/>
      <c r="N181" s="1879" t="s">
        <v>3766</v>
      </c>
      <c r="O181" s="1880"/>
      <c r="P181" s="1881"/>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1617</v>
      </c>
      <c r="C182" s="1"/>
      <c r="D182" s="9"/>
      <c r="E182" s="1"/>
      <c r="F182" s="3309">
        <v>10000</v>
      </c>
      <c r="G182" s="3310"/>
      <c r="H182" s="1"/>
      <c r="I182" s="1" t="s">
        <v>2367</v>
      </c>
      <c r="J182" s="481">
        <f>K182/12/O62</f>
        <v>41.909722222222221</v>
      </c>
      <c r="K182" s="3306">
        <v>24140</v>
      </c>
      <c r="L182" s="3307"/>
      <c r="M182" s="1878"/>
      <c r="N182" s="1058" t="s">
        <v>2731</v>
      </c>
      <c r="O182" s="922" t="s">
        <v>3881</v>
      </c>
      <c r="P182" s="1060" t="s">
        <v>3459</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1011</v>
      </c>
      <c r="C183" s="1"/>
      <c r="D183" s="9"/>
      <c r="E183" s="1"/>
      <c r="F183" s="3293">
        <v>3500</v>
      </c>
      <c r="G183" s="3294"/>
      <c r="H183" s="1"/>
      <c r="I183" s="1" t="s">
        <v>1382</v>
      </c>
      <c r="J183" s="1"/>
      <c r="K183" s="3306">
        <v>3500</v>
      </c>
      <c r="L183" s="3307"/>
      <c r="M183" s="1878"/>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1012</v>
      </c>
      <c r="C184" s="1"/>
      <c r="D184" s="9"/>
      <c r="E184" s="1"/>
      <c r="F184" s="3293">
        <v>3000</v>
      </c>
      <c r="G184" s="3294"/>
      <c r="H184" s="1"/>
      <c r="I184" s="3296" t="s">
        <v>52</v>
      </c>
      <c r="J184" s="3297"/>
      <c r="K184" s="3304"/>
      <c r="L184" s="3305"/>
      <c r="M184" s="1878"/>
      <c r="N184" s="516" t="s">
        <v>3451</v>
      </c>
      <c r="O184" s="929" t="str">
        <f>CONCATENATE(SUM(JC48:JG48)," units x $",'DCA Underwriting Assumptions'!$Q$65," =")</f>
        <v>48 units x $350 =</v>
      </c>
      <c r="P184" s="675">
        <f>SUM(JC48:JG48)*'DCA Underwriting Assumptions'!$Q$65</f>
        <v>16800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1013</v>
      </c>
      <c r="C185" s="1"/>
      <c r="D185" s="9"/>
      <c r="E185" s="1"/>
      <c r="F185" s="3293"/>
      <c r="G185" s="3294"/>
      <c r="H185" s="1"/>
      <c r="I185" s="1"/>
      <c r="J185" s="12" t="s">
        <v>193</v>
      </c>
      <c r="K185" s="1873">
        <f>SUM(K180:K184)</f>
        <v>31640</v>
      </c>
      <c r="L185" s="1874"/>
      <c r="M185" s="1878"/>
      <c r="N185" s="516" t="s">
        <v>3450</v>
      </c>
      <c r="O185" s="929" t="str">
        <f>CONCATENATE(SUM(JH48:JL48)," units x $",'DCA Underwriting Assumptions'!$Q$66," =")</f>
        <v>0 units x $250 =</v>
      </c>
      <c r="P185" s="675">
        <f>SUM(JH48:JL48)*'DCA Underwriting Assumptions'!$Q$66</f>
        <v>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875</v>
      </c>
      <c r="C186" s="1"/>
      <c r="D186" s="9"/>
      <c r="E186" s="1"/>
      <c r="F186" s="3293">
        <v>500</v>
      </c>
      <c r="G186" s="3294"/>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3449</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29000</v>
      </c>
      <c r="G188" s="1877"/>
      <c r="H188" s="1"/>
      <c r="I188" s="1"/>
      <c r="J188" s="13"/>
      <c r="K188" s="1"/>
      <c r="L188" s="1"/>
      <c r="M188" s="1"/>
      <c r="N188" s="1061" t="s">
        <v>2734</v>
      </c>
      <c r="O188" s="1062">
        <f>SUM(JC48:JG48)+SUM(JH48:JL48)+SUM(JM48:JQ48)+O84</f>
        <v>48</v>
      </c>
      <c r="P188" s="1063">
        <f>SUM(P184:P187)</f>
        <v>16800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2202</v>
      </c>
      <c r="O190" s="1"/>
      <c r="P190" s="417">
        <f>P175+P179</f>
        <v>170626</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1806</v>
      </c>
      <c r="B192" s="14" t="s">
        <v>576</v>
      </c>
      <c r="M192" s="14" t="s">
        <v>4160</v>
      </c>
      <c r="N192" s="14"/>
    </row>
    <row r="193" spans="1:296" ht="409.5" customHeight="1">
      <c r="A193" s="3312" t="s">
        <v>4718</v>
      </c>
      <c r="B193" s="3312"/>
      <c r="C193" s="3312"/>
      <c r="D193" s="3312"/>
      <c r="E193" s="3312"/>
      <c r="F193" s="3312"/>
      <c r="G193" s="3312"/>
      <c r="H193" s="3312"/>
      <c r="I193" s="3312"/>
      <c r="J193" s="3312"/>
      <c r="K193" s="3312"/>
      <c r="L193" s="3312"/>
      <c r="M193" s="3313"/>
      <c r="N193" s="3313"/>
      <c r="O193" s="3313"/>
      <c r="P193" s="3313"/>
      <c r="Q193" s="1884"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ZrAlJ59JJskLpuDlo28+5EC6oo93R4Ox4bbgwuJdHkDHzgojeeK6rr8x4bLzP9nBNhRXZb02Kg72+/hUQZjSWg==" saltValue="co8M9i4G2febzEU3cNRvMA=="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28" zoomScaleNormal="100" workbookViewId="0">
      <selection activeCell="A5"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2018-032 Hillcrest Apartments, Dublin, Laurens County</v>
      </c>
      <c r="B1" s="3214"/>
      <c r="C1" s="3214"/>
      <c r="D1" s="3214"/>
      <c r="E1" s="3214"/>
      <c r="F1" s="3214"/>
      <c r="G1" s="3214"/>
      <c r="H1" s="3214"/>
      <c r="I1" s="3214"/>
      <c r="J1" s="3214"/>
      <c r="K1" s="3215"/>
      <c r="L1" s="10"/>
      <c r="M1" s="10"/>
      <c r="N1" s="1890" t="str">
        <f>A1</f>
        <v>PART SEVEN - OPERATING PRO FORMA  -  2018-032 Hillcrest Apartments, Dublin, Laurens County</v>
      </c>
      <c r="O1" s="1890"/>
      <c r="P1" s="10"/>
    </row>
    <row r="2" spans="1:19" ht="13.5" customHeight="1">
      <c r="A2" s="511"/>
      <c r="B2" s="511"/>
      <c r="C2" s="511"/>
      <c r="D2" s="511"/>
      <c r="E2" s="511"/>
      <c r="F2" s="511"/>
      <c r="G2" s="511"/>
      <c r="H2" s="511"/>
      <c r="I2" s="511"/>
      <c r="J2" s="511"/>
      <c r="K2" s="511"/>
      <c r="N2" s="1891" t="s">
        <v>1858</v>
      </c>
      <c r="O2" s="1891"/>
    </row>
    <row r="3" spans="1:19" ht="13.5">
      <c r="A3" s="14" t="s">
        <v>91</v>
      </c>
      <c r="D3" s="1362" t="s">
        <v>81</v>
      </c>
      <c r="E3" s="225"/>
      <c r="F3" s="1363" t="s">
        <v>4236</v>
      </c>
      <c r="N3" s="14" t="str">
        <f>A3</f>
        <v>I.  OPERATING ASSUMPTIONS</v>
      </c>
      <c r="O3" s="32"/>
    </row>
    <row r="4" spans="1:19" ht="2.4500000000000002" customHeight="1">
      <c r="A4" s="17"/>
      <c r="B4" s="17"/>
      <c r="C4" s="17"/>
      <c r="H4" s="17"/>
      <c r="I4" s="17"/>
    </row>
    <row r="5" spans="1:19" ht="13.5" customHeight="1">
      <c r="A5" s="17" t="s">
        <v>2203</v>
      </c>
      <c r="B5" s="80">
        <v>0.02</v>
      </c>
      <c r="C5" s="17"/>
      <c r="D5" s="1870" t="s">
        <v>4237</v>
      </c>
      <c r="E5" s="1870"/>
      <c r="F5" s="1870"/>
      <c r="G5" s="3216">
        <v>2000</v>
      </c>
      <c r="H5" s="99" t="s">
        <v>1921</v>
      </c>
      <c r="K5" s="104">
        <f>IF(($B$14+$B$15+$B$16+$B$17)=0,"",B28/($B$14+$B$15+$B$16+$B$17))</f>
        <v>-8.7708426093764773E-3</v>
      </c>
      <c r="N5" s="3217"/>
      <c r="O5" s="3218"/>
    </row>
    <row r="6" spans="1:19">
      <c r="A6" s="17" t="s">
        <v>2204</v>
      </c>
      <c r="B6" s="80">
        <v>0.03</v>
      </c>
      <c r="C6" s="17"/>
      <c r="D6" s="1870"/>
      <c r="E6" s="1870"/>
      <c r="F6" s="1870"/>
      <c r="G6" s="1364">
        <f>IF(OR('Part III-Sources of Funds'!B11="Yes",'Part III-Sources of Funds'!E11&gt;0),'DCA Underwriting Assumptions'!$Q$95,0)</f>
        <v>0</v>
      </c>
      <c r="H6" s="17"/>
      <c r="I6" s="17"/>
      <c r="J6" s="17"/>
      <c r="K6" s="17"/>
      <c r="N6" s="3219"/>
      <c r="O6" s="3220"/>
    </row>
    <row r="7" spans="1:19">
      <c r="A7" s="17" t="s">
        <v>2206</v>
      </c>
      <c r="B7" s="80">
        <v>0.03</v>
      </c>
      <c r="C7" s="17"/>
      <c r="D7" s="82" t="s">
        <v>272</v>
      </c>
      <c r="G7" s="84"/>
      <c r="H7" s="99" t="s">
        <v>2389</v>
      </c>
      <c r="K7" s="104">
        <f>IF(($B$14+$B$15+$B$16+$B$17)=0,"",-B20/($B$14+$B$15+$B$16+$B$17))</f>
        <v>0.10609211220301787</v>
      </c>
      <c r="N7" s="3219"/>
      <c r="O7" s="3220"/>
    </row>
    <row r="8" spans="1:19" ht="13.15" customHeight="1">
      <c r="A8" s="17" t="s">
        <v>2205</v>
      </c>
      <c r="B8" s="3221">
        <v>7.0000000000000007E-2</v>
      </c>
      <c r="C8" s="17"/>
      <c r="D8" s="81" t="s">
        <v>2524</v>
      </c>
      <c r="G8" s="3222" t="s">
        <v>3010</v>
      </c>
      <c r="H8" s="169" t="s">
        <v>1455</v>
      </c>
      <c r="K8" s="3223">
        <v>24192</v>
      </c>
      <c r="N8" s="3219"/>
      <c r="O8" s="3220"/>
    </row>
    <row r="9" spans="1:19">
      <c r="A9" s="17" t="s">
        <v>1429</v>
      </c>
      <c r="B9" s="80">
        <v>0.02</v>
      </c>
      <c r="D9" s="81" t="s">
        <v>1730</v>
      </c>
      <c r="G9" s="3222"/>
      <c r="H9" s="169" t="s">
        <v>2371</v>
      </c>
      <c r="K9" s="3224"/>
      <c r="N9" s="3225"/>
      <c r="O9" s="3226"/>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2640</v>
      </c>
      <c r="O13" s="1699"/>
    </row>
    <row r="14" spans="1:19" ht="13.15" customHeight="1">
      <c r="A14" s="19" t="s">
        <v>2419</v>
      </c>
      <c r="B14" s="20">
        <f>'Part VI-Revenues &amp; Expenses'!$L$49</f>
        <v>240384</v>
      </c>
      <c r="C14" s="20">
        <f t="shared" ref="C14:K14" si="1">$B$14*(1+$B$5)^(C13-1)</f>
        <v>245191.67999999999</v>
      </c>
      <c r="D14" s="20">
        <f t="shared" si="1"/>
        <v>250095.51360000001</v>
      </c>
      <c r="E14" s="20">
        <f t="shared" si="1"/>
        <v>255097.42387199998</v>
      </c>
      <c r="F14" s="20">
        <f t="shared" si="1"/>
        <v>260199.37234944</v>
      </c>
      <c r="G14" s="20">
        <f t="shared" si="1"/>
        <v>265403.35979642882</v>
      </c>
      <c r="H14" s="20">
        <f t="shared" si="1"/>
        <v>270711.42699235742</v>
      </c>
      <c r="I14" s="20">
        <f t="shared" si="1"/>
        <v>276125.65553220449</v>
      </c>
      <c r="J14" s="20">
        <f t="shared" si="1"/>
        <v>281648.16864284861</v>
      </c>
      <c r="K14" s="21">
        <f t="shared" si="1"/>
        <v>287281.13201570557</v>
      </c>
      <c r="N14" s="3217"/>
      <c r="O14" s="3218"/>
      <c r="S14" s="1885" t="s">
        <v>4242</v>
      </c>
    </row>
    <row r="15" spans="1:19" ht="13.15" customHeight="1">
      <c r="A15" s="22" t="s">
        <v>1025</v>
      </c>
      <c r="B15" s="23">
        <f>MIN(B14*B9,'Part VI-Revenues &amp; Expenses'!$H$122)</f>
        <v>4807.68</v>
      </c>
      <c r="C15" s="23">
        <f t="shared" ref="C15:K15" si="2">$B$15*(1+$B$5)^(C13-1)</f>
        <v>4903.8335999999999</v>
      </c>
      <c r="D15" s="23">
        <f t="shared" si="2"/>
        <v>5001.9102720000001</v>
      </c>
      <c r="E15" s="23">
        <f t="shared" si="2"/>
        <v>5101.9484774399998</v>
      </c>
      <c r="F15" s="23">
        <f t="shared" si="2"/>
        <v>5203.9874469888</v>
      </c>
      <c r="G15" s="23">
        <f t="shared" si="2"/>
        <v>5308.0671959285764</v>
      </c>
      <c r="H15" s="23">
        <f t="shared" si="2"/>
        <v>5414.2285398471486</v>
      </c>
      <c r="I15" s="23">
        <f t="shared" si="2"/>
        <v>5522.5131106440904</v>
      </c>
      <c r="J15" s="23">
        <f t="shared" si="2"/>
        <v>5632.9633728569725</v>
      </c>
      <c r="K15" s="24">
        <f t="shared" si="2"/>
        <v>5745.6226403141118</v>
      </c>
      <c r="N15" s="3219"/>
      <c r="O15" s="3220"/>
      <c r="S15" s="1886"/>
    </row>
    <row r="16" spans="1:19" ht="13.15" customHeight="1">
      <c r="A16" s="22" t="s">
        <v>2420</v>
      </c>
      <c r="B16" s="23">
        <f t="shared" ref="B16:K16" si="3">-(B14+B15)*$B$8</f>
        <v>-17163.417600000001</v>
      </c>
      <c r="C16" s="23">
        <f t="shared" si="3"/>
        <v>-17506.685952000003</v>
      </c>
      <c r="D16" s="23">
        <f t="shared" si="3"/>
        <v>-17856.819671040004</v>
      </c>
      <c r="E16" s="23">
        <f t="shared" si="3"/>
        <v>-18213.956064460799</v>
      </c>
      <c r="F16" s="23">
        <f t="shared" si="3"/>
        <v>-18578.235185750018</v>
      </c>
      <c r="G16" s="23">
        <f t="shared" si="3"/>
        <v>-18949.799889465023</v>
      </c>
      <c r="H16" s="23">
        <f t="shared" si="3"/>
        <v>-19328.79588725432</v>
      </c>
      <c r="I16" s="23">
        <f t="shared" si="3"/>
        <v>-19715.371804999402</v>
      </c>
      <c r="J16" s="23">
        <f t="shared" si="3"/>
        <v>-20109.679241099391</v>
      </c>
      <c r="K16" s="24">
        <f t="shared" si="3"/>
        <v>-20511.872825921379</v>
      </c>
      <c r="N16" s="3219"/>
      <c r="O16" s="3220"/>
      <c r="Q16" s="1888" t="s">
        <v>3918</v>
      </c>
      <c r="R16" s="1888" t="s">
        <v>4241</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619</v>
      </c>
      <c r="B19" s="23">
        <f>-('Part VI-Revenues &amp; Expenses'!$P$175-'Part VI-Revenues &amp; Expenses'!$P$170)</f>
        <v>-129634</v>
      </c>
      <c r="C19" s="23">
        <f t="shared" ref="C19:K19" si="4">$B$19*(1+$B$6)^(C13-1)</f>
        <v>-133523.01999999999</v>
      </c>
      <c r="D19" s="23">
        <f t="shared" si="4"/>
        <v>-137528.71059999999</v>
      </c>
      <c r="E19" s="23">
        <f t="shared" si="4"/>
        <v>-141654.571918</v>
      </c>
      <c r="F19" s="23">
        <f t="shared" si="4"/>
        <v>-145904.20907553998</v>
      </c>
      <c r="G19" s="23">
        <f t="shared" si="4"/>
        <v>-150281.33534780619</v>
      </c>
      <c r="H19" s="23">
        <f t="shared" si="4"/>
        <v>-154789.77540824038</v>
      </c>
      <c r="I19" s="23">
        <f t="shared" si="4"/>
        <v>-159433.46867048761</v>
      </c>
      <c r="J19" s="23">
        <f t="shared" si="4"/>
        <v>-164216.4727306022</v>
      </c>
      <c r="K19" s="24">
        <f t="shared" si="4"/>
        <v>-169142.96691252026</v>
      </c>
      <c r="N19" s="3219"/>
      <c r="O19" s="3220"/>
      <c r="Q19" s="63">
        <v>1</v>
      </c>
      <c r="R19" s="1197">
        <f>-B29</f>
        <v>4069</v>
      </c>
      <c r="S19" s="1197">
        <f>B30+R19</f>
        <v>55402.262400000007</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-24192</v>
      </c>
      <c r="C20" s="23">
        <f>IF(AND('Part VII-Pro Forma'!$G$8="Yes",'Part VII-Pro Forma'!$G$9="Yes"),"Choose One!",IF('Part VII-Pro Forma'!$G$8="Yes",ROUND((-$K$8*(1+'Part VII-Pro Forma'!$B$6)^('Part VII-Pro Forma'!C13-1)),),IF('Part VII-Pro Forma'!$G$9="Yes",ROUND((-(SUM(C14:C17)*'Part VII-Pro Forma'!$K$9)),),"Choose mgt fee")))</f>
        <v>-24918</v>
      </c>
      <c r="D20" s="23">
        <f>IF(AND('Part VII-Pro Forma'!$G$8="Yes",'Part VII-Pro Forma'!$G$9="Yes"),"Choose One!",IF('Part VII-Pro Forma'!$G$8="Yes",ROUND((-$K$8*(1+'Part VII-Pro Forma'!$B$6)^('Part VII-Pro Forma'!D13-1)),),IF('Part VII-Pro Forma'!$G$9="Yes",ROUND((-(SUM(D14:D17)*'Part VII-Pro Forma'!$K$9)),),"Choose mgt fee")))</f>
        <v>-25665</v>
      </c>
      <c r="E20" s="23">
        <f>IF(AND('Part VII-Pro Forma'!$G$8="Yes",'Part VII-Pro Forma'!$G$9="Yes"),"Choose One!",IF('Part VII-Pro Forma'!$G$8="Yes",ROUND((-$K$8*(1+'Part VII-Pro Forma'!$B$6)^('Part VII-Pro Forma'!E13-1)),),IF('Part VII-Pro Forma'!$G$9="Yes",ROUND((-(SUM(E14:E17)*'Part VII-Pro Forma'!$K$9)),),"Choose mgt fee")))</f>
        <v>-26435</v>
      </c>
      <c r="F20" s="23">
        <f>IF(AND('Part VII-Pro Forma'!$G$8="Yes",'Part VII-Pro Forma'!$G$9="Yes"),"Choose One!",IF('Part VII-Pro Forma'!$G$8="Yes",ROUND((-$K$8*(1+'Part VII-Pro Forma'!$B$6)^('Part VII-Pro Forma'!F13-1)),),IF('Part VII-Pro Forma'!$G$9="Yes",ROUND((-(SUM(F14:F17)*'Part VII-Pro Forma'!$K$9)),),"Choose mgt fee")))</f>
        <v>-27228</v>
      </c>
      <c r="G20" s="23">
        <f>IF(AND('Part VII-Pro Forma'!$G$8="Yes",'Part VII-Pro Forma'!$G$9="Yes"),"Choose One!",IF('Part VII-Pro Forma'!$G$8="Yes",ROUND((-$K$8*(1+'Part VII-Pro Forma'!$B$6)^('Part VII-Pro Forma'!G13-1)),),IF('Part VII-Pro Forma'!$G$9="Yes",ROUND((-(SUM(G14:G17)*'Part VII-Pro Forma'!$K$9)),),"Choose mgt fee")))</f>
        <v>-28045</v>
      </c>
      <c r="H20" s="23">
        <f>IF(AND('Part VII-Pro Forma'!$G$8="Yes",'Part VII-Pro Forma'!$G$9="Yes"),"Choose One!",IF('Part VII-Pro Forma'!$G$8="Yes",ROUND((-$K$8*(1+'Part VII-Pro Forma'!$B$6)^('Part VII-Pro Forma'!H13-1)),),IF('Part VII-Pro Forma'!$G$9="Yes",ROUND((-(SUM(H14:H17)*'Part VII-Pro Forma'!$K$9)),),"Choose mgt fee")))</f>
        <v>-28887</v>
      </c>
      <c r="I20" s="23">
        <f>IF(AND('Part VII-Pro Forma'!$G$8="Yes",'Part VII-Pro Forma'!$G$9="Yes"),"Choose One!",IF('Part VII-Pro Forma'!$G$8="Yes",ROUND((-$K$8*(1+'Part VII-Pro Forma'!$B$6)^('Part VII-Pro Forma'!I13-1)),),IF('Part VII-Pro Forma'!$G$9="Yes",ROUND((-(SUM(I14:I17)*'Part VII-Pro Forma'!$K$9)),),"Choose mgt fee")))</f>
        <v>-29753</v>
      </c>
      <c r="J20" s="23">
        <f>IF(AND('Part VII-Pro Forma'!$G$8="Yes",'Part VII-Pro Forma'!$G$9="Yes"),"Choose One!",IF('Part VII-Pro Forma'!$G$8="Yes",ROUND((-$K$8*(1+'Part VII-Pro Forma'!$B$6)^('Part VII-Pro Forma'!J13-1)),),IF('Part VII-Pro Forma'!$G$9="Yes",ROUND((-(SUM(J14:J17)*'Part VII-Pro Forma'!$K$9)),),"Choose mgt fee")))</f>
        <v>-30646</v>
      </c>
      <c r="K20" s="23">
        <f>IF(AND('Part VII-Pro Forma'!$G$8="Yes",'Part VII-Pro Forma'!$G$9="Yes"),"Choose One!",IF('Part VII-Pro Forma'!$G$8="Yes",ROUND((-$K$8*(1+'Part VII-Pro Forma'!$B$6)^('Part VII-Pro Forma'!K13-1)),),IF('Part VII-Pro Forma'!$G$9="Yes",ROUND((-(SUM(K14:K17)*'Part VII-Pro Forma'!$K$9)),),"Choose mgt fee")))</f>
        <v>-31565</v>
      </c>
      <c r="N20" s="3219"/>
      <c r="O20" s="3220"/>
      <c r="Q20" s="63">
        <v>2</v>
      </c>
      <c r="R20" s="1197">
        <f>-SUM($B$29:$C$29)</f>
        <v>4069</v>
      </c>
      <c r="S20" s="1197">
        <f>SUM($B$30:$C$30)+R20</f>
        <v>110246.07004800002</v>
      </c>
    </row>
    <row r="21" spans="1:19" ht="13.15" customHeight="1">
      <c r="A21" s="22" t="s">
        <v>1213</v>
      </c>
      <c r="B21" s="23">
        <f>-('Part VI-Revenues &amp; Expenses'!$P$179)</f>
        <v>-16800</v>
      </c>
      <c r="C21" s="23">
        <f t="shared" ref="C21:K21" si="5">$B$21*(1+$B$7)^(C13-1)</f>
        <v>-17304</v>
      </c>
      <c r="D21" s="23">
        <f t="shared" si="5"/>
        <v>-17823.12</v>
      </c>
      <c r="E21" s="23">
        <f t="shared" si="5"/>
        <v>-18357.813600000001</v>
      </c>
      <c r="F21" s="23">
        <f t="shared" si="5"/>
        <v>-18908.548007999998</v>
      </c>
      <c r="G21" s="23">
        <f t="shared" si="5"/>
        <v>-19475.804448239996</v>
      </c>
      <c r="H21" s="23">
        <f t="shared" si="5"/>
        <v>-20060.078581687198</v>
      </c>
      <c r="I21" s="23">
        <f t="shared" si="5"/>
        <v>-20661.880939137816</v>
      </c>
      <c r="J21" s="23">
        <f t="shared" si="5"/>
        <v>-21281.737367311947</v>
      </c>
      <c r="K21" s="24">
        <f t="shared" si="5"/>
        <v>-21920.189488331307</v>
      </c>
      <c r="N21" s="3219"/>
      <c r="O21" s="3220"/>
      <c r="Q21" s="63">
        <v>3</v>
      </c>
      <c r="R21" s="1197">
        <f>-SUM($B$29:$D$29)</f>
        <v>4069</v>
      </c>
      <c r="S21" s="1197">
        <f>SUM($B$30:$D$30)+R21</f>
        <v>164469.84364896006</v>
      </c>
    </row>
    <row r="22" spans="1:19" ht="13.15" customHeight="1">
      <c r="A22" s="22" t="s">
        <v>1214</v>
      </c>
      <c r="B22" s="23">
        <f t="shared" ref="B22:K22" si="6">SUM(B14:B21)</f>
        <v>57402.262400000007</v>
      </c>
      <c r="C22" s="23">
        <f t="shared" si="6"/>
        <v>56843.807648000016</v>
      </c>
      <c r="D22" s="23">
        <f t="shared" si="6"/>
        <v>56223.773600960034</v>
      </c>
      <c r="E22" s="23">
        <f t="shared" si="6"/>
        <v>55538.030766979173</v>
      </c>
      <c r="F22" s="23">
        <f t="shared" si="6"/>
        <v>54784.367527138835</v>
      </c>
      <c r="G22" s="23">
        <f t="shared" si="6"/>
        <v>53959.487306846189</v>
      </c>
      <c r="H22" s="23">
        <f t="shared" si="6"/>
        <v>53060.005655022644</v>
      </c>
      <c r="I22" s="23">
        <f t="shared" si="6"/>
        <v>52084.44722822374</v>
      </c>
      <c r="J22" s="23">
        <f t="shared" si="6"/>
        <v>51027.24267669204</v>
      </c>
      <c r="K22" s="24">
        <f t="shared" si="6"/>
        <v>49886.725429246711</v>
      </c>
      <c r="N22" s="3219"/>
      <c r="O22" s="3220"/>
      <c r="Q22" s="1040">
        <v>4</v>
      </c>
      <c r="R22" s="1197">
        <f>-SUM($B$29:$E$29)</f>
        <v>4069</v>
      </c>
      <c r="S22" s="1197">
        <f>SUM($B$30:$E$30)+R22</f>
        <v>218007.87441593924</v>
      </c>
    </row>
    <row r="23" spans="1:19" ht="13.15" customHeight="1">
      <c r="A23" s="435" t="s">
        <v>1602</v>
      </c>
      <c r="B23" s="3227"/>
      <c r="C23" s="3227"/>
      <c r="D23" s="3227"/>
      <c r="E23" s="3227"/>
      <c r="F23" s="3227"/>
      <c r="G23" s="3227"/>
      <c r="H23" s="3227"/>
      <c r="I23" s="3227"/>
      <c r="J23" s="3227"/>
      <c r="K23" s="3227"/>
      <c r="N23" s="3219"/>
      <c r="O23" s="3220"/>
      <c r="Q23" s="1040">
        <v>5</v>
      </c>
      <c r="R23" s="1197">
        <f>-SUM($B$29:$F$29)</f>
        <v>4069</v>
      </c>
      <c r="S23" s="1197">
        <f>SUM($B$30:$F$30)+R23</f>
        <v>270792.24194307806</v>
      </c>
    </row>
    <row r="24" spans="1:19" ht="13.15" customHeight="1">
      <c r="A24" s="435" t="s">
        <v>1603</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4069</v>
      </c>
      <c r="S24" s="1197">
        <f>SUM($B$30:$G$30)+R24</f>
        <v>322751.72924992425</v>
      </c>
    </row>
    <row r="25" spans="1:19" ht="13.15" customHeight="1">
      <c r="A25" s="435" t="s">
        <v>1604</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4069</v>
      </c>
      <c r="S25" s="1197">
        <f>SUM($B$30:$H$30)+R25</f>
        <v>373811.73490494688</v>
      </c>
    </row>
    <row r="26" spans="1:19" ht="13.15" customHeight="1">
      <c r="A26" s="435" t="s">
        <v>3884</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4069</v>
      </c>
      <c r="S26" s="1197">
        <f>SUM($B$30:$I$30)+R26</f>
        <v>423896.1821331706</v>
      </c>
    </row>
    <row r="27" spans="1:19" ht="13.15" customHeight="1">
      <c r="A27" s="22" t="s">
        <v>770</v>
      </c>
      <c r="B27" s="3229"/>
      <c r="C27" s="3229"/>
      <c r="D27" s="3229"/>
      <c r="E27" s="3229"/>
      <c r="F27" s="3229"/>
      <c r="G27" s="3229"/>
      <c r="H27" s="3229"/>
      <c r="I27" s="3229"/>
      <c r="J27" s="3229"/>
      <c r="K27" s="3229"/>
      <c r="N27" s="3219"/>
      <c r="O27" s="3220"/>
      <c r="Q27" s="1040">
        <v>9</v>
      </c>
      <c r="R27" s="1197">
        <f>-SUM($B$29:$J$29)</f>
        <v>4069</v>
      </c>
      <c r="S27" s="1197">
        <f>SUM($B$30:$J$30)+R27</f>
        <v>472923.42480986263</v>
      </c>
    </row>
    <row r="28" spans="1:19" ht="13.15" customHeight="1">
      <c r="A28" s="435" t="s">
        <v>1173</v>
      </c>
      <c r="B28" s="3230">
        <f>-$G$5</f>
        <v>-2000</v>
      </c>
      <c r="C28" s="3230">
        <f t="shared" ref="C28:K28" si="7">+B28</f>
        <v>-2000</v>
      </c>
      <c r="D28" s="3230">
        <f t="shared" si="7"/>
        <v>-2000</v>
      </c>
      <c r="E28" s="3230">
        <f t="shared" si="7"/>
        <v>-2000</v>
      </c>
      <c r="F28" s="3230">
        <f t="shared" si="7"/>
        <v>-2000</v>
      </c>
      <c r="G28" s="3230">
        <f t="shared" si="7"/>
        <v>-2000</v>
      </c>
      <c r="H28" s="3230">
        <f t="shared" si="7"/>
        <v>-2000</v>
      </c>
      <c r="I28" s="3230">
        <f t="shared" si="7"/>
        <v>-2000</v>
      </c>
      <c r="J28" s="3230">
        <f t="shared" si="7"/>
        <v>-2000</v>
      </c>
      <c r="K28" s="3230">
        <f t="shared" si="7"/>
        <v>-2000</v>
      </c>
      <c r="N28" s="3219"/>
      <c r="O28" s="3220"/>
      <c r="Q28" s="1040">
        <v>10</v>
      </c>
      <c r="R28" s="1197">
        <f>-SUM($B$29:$K$29)</f>
        <v>4069</v>
      </c>
      <c r="S28" s="1197">
        <f>SUM($B$30:$K$30)+R28</f>
        <v>520810.15023910935</v>
      </c>
    </row>
    <row r="29" spans="1:19" ht="13.15" customHeight="1">
      <c r="A29" s="435" t="s">
        <v>4133</v>
      </c>
      <c r="B29" s="3231">
        <f>IF('Part III-Sources of Funds'!$N$42="", 0,-'Part III-Sources of Funds'!$N$42)</f>
        <v>-4069</v>
      </c>
      <c r="C29" s="3231"/>
      <c r="D29" s="3231"/>
      <c r="E29" s="3231"/>
      <c r="F29" s="3231"/>
      <c r="G29" s="3231"/>
      <c r="H29" s="3231"/>
      <c r="I29" s="3231"/>
      <c r="J29" s="3231"/>
      <c r="K29" s="3231"/>
      <c r="N29" s="3219"/>
      <c r="O29" s="3220"/>
      <c r="Q29" s="1040">
        <v>11</v>
      </c>
      <c r="R29" s="1197">
        <f>-SUM($B$29:$K$29)-$B$59</f>
        <v>4069</v>
      </c>
      <c r="S29" s="1197">
        <f>SUM($B$30:$K$30)+$B$60+R29</f>
        <v>571468.27861293254</v>
      </c>
    </row>
    <row r="30" spans="1:19" ht="13.15" customHeight="1">
      <c r="A30" s="22" t="s">
        <v>1174</v>
      </c>
      <c r="B30" s="23">
        <f>SUM(B22:B29)</f>
        <v>51333.262400000007</v>
      </c>
      <c r="C30" s="23">
        <f t="shared" ref="C30:K30" si="8">SUM(C22:C29)</f>
        <v>54843.807648000016</v>
      </c>
      <c r="D30" s="23">
        <f t="shared" si="8"/>
        <v>54223.773600960034</v>
      </c>
      <c r="E30" s="23">
        <f t="shared" si="8"/>
        <v>53538.030766979173</v>
      </c>
      <c r="F30" s="23">
        <f t="shared" si="8"/>
        <v>52784.367527138835</v>
      </c>
      <c r="G30" s="23">
        <f t="shared" si="8"/>
        <v>51959.487306846189</v>
      </c>
      <c r="H30" s="23">
        <f t="shared" si="8"/>
        <v>51060.005655022644</v>
      </c>
      <c r="I30" s="23">
        <f t="shared" si="8"/>
        <v>50084.44722822374</v>
      </c>
      <c r="J30" s="23">
        <f t="shared" si="8"/>
        <v>49027.24267669204</v>
      </c>
      <c r="K30" s="23">
        <f t="shared" si="8"/>
        <v>47886.725429246711</v>
      </c>
      <c r="N30" s="3219"/>
      <c r="O30" s="3220"/>
      <c r="Q30" s="1040">
        <v>12</v>
      </c>
      <c r="R30" s="1197">
        <f>-SUM($B$29:$K$29) - SUM($B$59:$C$59)</f>
        <v>4069</v>
      </c>
      <c r="S30" s="1197">
        <f>SUM($B$30:$K$30) + SUM($B$60:$C$60)+R30</f>
        <v>620806.8590433033</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19"/>
      <c r="O31" s="3220"/>
      <c r="Q31" s="1040">
        <v>13</v>
      </c>
      <c r="R31" s="1197">
        <f>-SUM($B$29:$K$29) - SUM($B$59:$D$59)</f>
        <v>4069</v>
      </c>
      <c r="S31" s="1197">
        <f>SUM($B$30:$K$30) + SUM($B$60:$D$60)+R31</f>
        <v>668729.96205602493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4069</v>
      </c>
      <c r="S32" s="1197">
        <f>SUM($B$30:$K$30) + SUM($B$60:$E$60)+R32</f>
        <v>715138.56843195669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4069</v>
      </c>
      <c r="S33" s="1197">
        <f>SUM($B$30:$K$30) + SUM($B$60:$F$60)+R33</f>
        <v>759929.45427745138</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4069</v>
      </c>
      <c r="S34" s="1197">
        <f>SUM($B$30:$K$30) + SUM($B$60:$G$60)+R34</f>
        <v>802996.07220216142</v>
      </c>
    </row>
    <row r="35" spans="1:19" ht="13.15" customHeight="1">
      <c r="A35" s="435" t="s">
        <v>3741</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219"/>
      <c r="O35" s="3220"/>
      <c r="Q35" s="63">
        <v>17</v>
      </c>
      <c r="R35" s="1197">
        <f>-SUM($B$29:$K$29) - SUM($B$59:$H$59)</f>
        <v>4069</v>
      </c>
      <c r="S35" s="1197">
        <f>SUM($B$30:$K$30) + SUM($B$60:$H$60)+R35</f>
        <v>844225.42847854085</v>
      </c>
    </row>
    <row r="36" spans="1:19" ht="13.15" customHeight="1">
      <c r="A36" s="22" t="s">
        <v>777</v>
      </c>
      <c r="B36" s="274">
        <f t="shared" ref="B36:K36" si="14">IF(OR(B20="Choose mgt fee",B20="Choose One!"),"",(B14+B15+B16+B17+B18) / -(B19+B20+B21))</f>
        <v>1.3364215441960781</v>
      </c>
      <c r="C36" s="274">
        <f t="shared" si="14"/>
        <v>1.3234447704293415</v>
      </c>
      <c r="D36" s="274">
        <f t="shared" si="14"/>
        <v>1.3105997017769022</v>
      </c>
      <c r="E36" s="274">
        <f t="shared" si="14"/>
        <v>1.2978750847735403</v>
      </c>
      <c r="F36" s="274">
        <f t="shared" si="14"/>
        <v>1.2852746904309851</v>
      </c>
      <c r="G36" s="274">
        <f t="shared" si="14"/>
        <v>1.2727952658271737</v>
      </c>
      <c r="H36" s="274">
        <f t="shared" si="14"/>
        <v>1.2604340089478647</v>
      </c>
      <c r="I36" s="274">
        <f t="shared" si="14"/>
        <v>1.2482004138946763</v>
      </c>
      <c r="J36" s="274">
        <f t="shared" si="14"/>
        <v>1.2360796185730651</v>
      </c>
      <c r="K36" s="275">
        <f t="shared" si="14"/>
        <v>1.2240809349353976</v>
      </c>
      <c r="N36" s="3219"/>
      <c r="O36" s="3220"/>
      <c r="Q36" s="63">
        <v>18</v>
      </c>
      <c r="R36" s="1197">
        <f>-SUM($B$29:$K$29) - SUM($B$59:$I$59)</f>
        <v>4069</v>
      </c>
      <c r="S36" s="1197">
        <f>SUM($B$30:$K$30) + SUM($B$60:$I$60)+R36</f>
        <v>883500.95605341787</v>
      </c>
    </row>
    <row r="37" spans="1:19" ht="13.15" customHeight="1">
      <c r="A37" s="435" t="s">
        <v>2633</v>
      </c>
      <c r="B37" s="3232" t="str">
        <f>IF('Part III-Sources of Funds'!$I$37="","",-FV('Part III-Sources of Funds'!$K$37/12,12,B23/12,'Part III-Sources of Funds'!$I$37))</f>
        <v/>
      </c>
      <c r="C37" s="3232" t="str">
        <f>IF('Part III-Sources of Funds'!$I$37="","",-FV('Part III-Sources of Funds'!$K$37/12,12,C23/12,B37))</f>
        <v/>
      </c>
      <c r="D37" s="3232" t="str">
        <f>IF('Part III-Sources of Funds'!$I$37="","",-FV('Part III-Sources of Funds'!$K$37/12,12,D23/12,C37))</f>
        <v/>
      </c>
      <c r="E37" s="3232" t="str">
        <f>IF('Part III-Sources of Funds'!$I$37="","",-FV('Part III-Sources of Funds'!$K$37/12,12,E23/12,D37))</f>
        <v/>
      </c>
      <c r="F37" s="3232" t="str">
        <f>IF('Part III-Sources of Funds'!$I$37="","",-FV('Part III-Sources of Funds'!$K$37/12,12,F23/12,E37))</f>
        <v/>
      </c>
      <c r="G37" s="3232" t="str">
        <f>IF('Part III-Sources of Funds'!$I$37="","",-FV('Part III-Sources of Funds'!$K$37/12,12,G23/12,F37))</f>
        <v/>
      </c>
      <c r="H37" s="3232" t="str">
        <f>IF('Part III-Sources of Funds'!$I$37="","",-FV('Part III-Sources of Funds'!$K$37/12,12,H23/12,G37))</f>
        <v/>
      </c>
      <c r="I37" s="3232" t="str">
        <f>IF('Part III-Sources of Funds'!$I$37="","",-FV('Part III-Sources of Funds'!$K$37/12,12,I23/12,H37))</f>
        <v/>
      </c>
      <c r="J37" s="3232" t="str">
        <f>IF('Part III-Sources of Funds'!$I$37="","",-FV('Part III-Sources of Funds'!$K$37/12,12,J23/12,I37))</f>
        <v/>
      </c>
      <c r="K37" s="3232" t="str">
        <f>IF('Part III-Sources of Funds'!$I$37="","",-FV('Part III-Sources of Funds'!$K$37/12,12,K23/12,J37))</f>
        <v/>
      </c>
      <c r="N37" s="3219"/>
      <c r="O37" s="3220"/>
      <c r="Q37" s="1040">
        <v>19</v>
      </c>
      <c r="R37" s="1197">
        <f>-SUM($B$29:$K$29) - SUM($B$59:$J$59)</f>
        <v>4069</v>
      </c>
      <c r="S37" s="1197">
        <f>SUM($B$30:$K$30) + SUM($B$60:$J$60)+R37</f>
        <v>920702.38327795151</v>
      </c>
    </row>
    <row r="38" spans="1:19" ht="13.15" customHeight="1">
      <c r="A38" s="435" t="s">
        <v>2634</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4069</v>
      </c>
      <c r="S38" s="1197">
        <f>SUM($B$30:$K$30) + SUM($B$60:$K$60)+R38</f>
        <v>955702.59821807989</v>
      </c>
    </row>
    <row r="39" spans="1:19" ht="13.15" customHeight="1">
      <c r="A39" s="435" t="s">
        <v>2635</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791</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4134</v>
      </c>
      <c r="B41" s="3231">
        <f>IF('Part III-Sources of Funds'!$I$42="","",-FV('Part III-Sources of Funds'!$K$42/12,12,B29/12,'Part III-Sources of Funds'!$I$42))</f>
        <v>0</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2638</v>
      </c>
      <c r="O43" s="1699"/>
    </row>
    <row r="44" spans="1:19" ht="13.15" customHeight="1">
      <c r="A44" s="19" t="s">
        <v>2419</v>
      </c>
      <c r="B44" s="20">
        <f t="shared" ref="B44:K44" si="16">$B$14*(1+$B$5)^(B43-1)</f>
        <v>293026.75465601968</v>
      </c>
      <c r="C44" s="20">
        <f t="shared" si="16"/>
        <v>298887.28974914004</v>
      </c>
      <c r="D44" s="20">
        <f t="shared" si="16"/>
        <v>304865.03554412286</v>
      </c>
      <c r="E44" s="20">
        <f t="shared" si="16"/>
        <v>310962.33625500533</v>
      </c>
      <c r="F44" s="20">
        <f t="shared" si="16"/>
        <v>317181.58298010548</v>
      </c>
      <c r="G44" s="20">
        <f t="shared" si="16"/>
        <v>323525.21463970747</v>
      </c>
      <c r="H44" s="20">
        <f t="shared" si="16"/>
        <v>329995.71893250168</v>
      </c>
      <c r="I44" s="20">
        <f t="shared" si="16"/>
        <v>336595.63331115176</v>
      </c>
      <c r="J44" s="20">
        <f t="shared" si="16"/>
        <v>343327.54597737471</v>
      </c>
      <c r="K44" s="21">
        <f t="shared" si="16"/>
        <v>350194.09689692222</v>
      </c>
      <c r="N44" s="3217"/>
      <c r="O44" s="3218"/>
    </row>
    <row r="45" spans="1:19" ht="13.15" customHeight="1">
      <c r="A45" s="22" t="s">
        <v>1025</v>
      </c>
      <c r="B45" s="23">
        <f t="shared" ref="B45:K45" si="17">$B$15*(1+$B$5)^(B43-1)</f>
        <v>5860.5350931203939</v>
      </c>
      <c r="C45" s="23">
        <f t="shared" si="17"/>
        <v>5977.7457949828013</v>
      </c>
      <c r="D45" s="23">
        <f t="shared" si="17"/>
        <v>6097.3007108824577</v>
      </c>
      <c r="E45" s="23">
        <f t="shared" si="17"/>
        <v>6219.2467251001071</v>
      </c>
      <c r="F45" s="23">
        <f t="shared" si="17"/>
        <v>6343.6316596021097</v>
      </c>
      <c r="G45" s="23">
        <f t="shared" si="17"/>
        <v>6470.5042927941504</v>
      </c>
      <c r="H45" s="23">
        <f t="shared" si="17"/>
        <v>6599.9143786500345</v>
      </c>
      <c r="I45" s="23">
        <f t="shared" si="17"/>
        <v>6731.9126662230356</v>
      </c>
      <c r="J45" s="23">
        <f t="shared" si="17"/>
        <v>6866.5509195474951</v>
      </c>
      <c r="K45" s="24">
        <f t="shared" si="17"/>
        <v>7003.8819379384449</v>
      </c>
      <c r="N45" s="3219"/>
      <c r="O45" s="3220"/>
    </row>
    <row r="46" spans="1:19" ht="13.15" customHeight="1">
      <c r="A46" s="22" t="s">
        <v>2420</v>
      </c>
      <c r="B46" s="23">
        <f t="shared" ref="B46:K46" si="18">-(B44+B45)*$B$8</f>
        <v>-20922.110282439808</v>
      </c>
      <c r="C46" s="23">
        <f t="shared" si="18"/>
        <v>-21340.552488088601</v>
      </c>
      <c r="D46" s="23">
        <f t="shared" si="18"/>
        <v>-21767.363537850375</v>
      </c>
      <c r="E46" s="23">
        <f t="shared" si="18"/>
        <v>-22202.710808607382</v>
      </c>
      <c r="F46" s="23">
        <f t="shared" si="18"/>
        <v>-22646.765024779532</v>
      </c>
      <c r="G46" s="23">
        <f t="shared" si="18"/>
        <v>-23099.700325275116</v>
      </c>
      <c r="H46" s="23">
        <f t="shared" si="18"/>
        <v>-23561.694331780622</v>
      </c>
      <c r="I46" s="23">
        <f t="shared" si="18"/>
        <v>-24032.928218416237</v>
      </c>
      <c r="J46" s="23">
        <f t="shared" si="18"/>
        <v>-24513.586782784558</v>
      </c>
      <c r="K46" s="24">
        <f t="shared" si="18"/>
        <v>-25003.858518440247</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619</v>
      </c>
      <c r="B49" s="23">
        <f t="shared" ref="B49:K49" si="19">$B$19*(1+$B$6)^(B43-1)</f>
        <v>-174217.25591989589</v>
      </c>
      <c r="C49" s="23">
        <f t="shared" si="19"/>
        <v>-179443.77359749278</v>
      </c>
      <c r="D49" s="23">
        <f t="shared" si="19"/>
        <v>-184827.08680541752</v>
      </c>
      <c r="E49" s="23">
        <f t="shared" si="19"/>
        <v>-190371.89940958004</v>
      </c>
      <c r="F49" s="23">
        <f t="shared" si="19"/>
        <v>-196083.05639186746</v>
      </c>
      <c r="G49" s="23">
        <f t="shared" si="19"/>
        <v>-201965.54808362349</v>
      </c>
      <c r="H49" s="23">
        <f t="shared" si="19"/>
        <v>-208024.51452613217</v>
      </c>
      <c r="I49" s="23">
        <f t="shared" si="19"/>
        <v>-214265.24996191612</v>
      </c>
      <c r="J49" s="23">
        <f t="shared" si="19"/>
        <v>-220693.20746077361</v>
      </c>
      <c r="K49" s="24">
        <f t="shared" si="19"/>
        <v>-227314.00368459683</v>
      </c>
      <c r="N49" s="3219"/>
      <c r="O49" s="3220"/>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-32512</v>
      </c>
      <c r="C50" s="23">
        <f>IF(AND('Part VII-Pro Forma'!$G$8="Yes",'Part VII-Pro Forma'!$G$9="Yes"),"Choose One!",IF('Part VII-Pro Forma'!$G$8="Yes",ROUND((-$K$8*(1+'Part VII-Pro Forma'!$B$6)^('Part VII-Pro Forma'!C43-1)),),IF('Part VII-Pro Forma'!$G$9="Yes",ROUND((-(SUM(C44:C47)*'Part VII-Pro Forma'!$K$9)),),"Choose mgt fee")))</f>
        <v>-33487</v>
      </c>
      <c r="D50" s="23">
        <f>IF(AND('Part VII-Pro Forma'!$G$8="Yes",'Part VII-Pro Forma'!$G$9="Yes"),"Choose One!",IF('Part VII-Pro Forma'!$G$8="Yes",ROUND((-$K$8*(1+'Part VII-Pro Forma'!$B$6)^('Part VII-Pro Forma'!D43-1)),),IF('Part VII-Pro Forma'!$G$9="Yes",ROUND((-(SUM(D44:D47)*'Part VII-Pro Forma'!$K$9)),),"Choose mgt fee")))</f>
        <v>-34492</v>
      </c>
      <c r="E50" s="23">
        <f>IF(AND('Part VII-Pro Forma'!$G$8="Yes",'Part VII-Pro Forma'!$G$9="Yes"),"Choose One!",IF('Part VII-Pro Forma'!$G$8="Yes",ROUND((-$K$8*(1+'Part VII-Pro Forma'!$B$6)^('Part VII-Pro Forma'!E43-1)),),IF('Part VII-Pro Forma'!$G$9="Yes",ROUND((-(SUM(E44:E47)*'Part VII-Pro Forma'!$K$9)),),"Choose mgt fee")))</f>
        <v>-35527</v>
      </c>
      <c r="F50" s="23">
        <f>IF(AND('Part VII-Pro Forma'!$G$8="Yes",'Part VII-Pro Forma'!$G$9="Yes"),"Choose One!",IF('Part VII-Pro Forma'!$G$8="Yes",ROUND((-$K$8*(1+'Part VII-Pro Forma'!$B$6)^('Part VII-Pro Forma'!F43-1)),),IF('Part VII-Pro Forma'!$G$9="Yes",ROUND((-(SUM(F44:F47)*'Part VII-Pro Forma'!$K$9)),),"Choose mgt fee")))</f>
        <v>-36593</v>
      </c>
      <c r="G50" s="23">
        <f>IF(AND('Part VII-Pro Forma'!$G$8="Yes",'Part VII-Pro Forma'!$G$9="Yes"),"Choose One!",IF('Part VII-Pro Forma'!$G$8="Yes",ROUND((-$K$8*(1+'Part VII-Pro Forma'!$B$6)^('Part VII-Pro Forma'!G43-1)),),IF('Part VII-Pro Forma'!$G$9="Yes",ROUND((-(SUM(G44:G47)*'Part VII-Pro Forma'!$K$9)),),"Choose mgt fee")))</f>
        <v>-37690</v>
      </c>
      <c r="H50" s="23">
        <f>IF(AND('Part VII-Pro Forma'!$G$8="Yes",'Part VII-Pro Forma'!$G$9="Yes"),"Choose One!",IF('Part VII-Pro Forma'!$G$8="Yes",ROUND((-$K$8*(1+'Part VII-Pro Forma'!$B$6)^('Part VII-Pro Forma'!H43-1)),),IF('Part VII-Pro Forma'!$G$9="Yes",ROUND((-(SUM(H44:H47)*'Part VII-Pro Forma'!$K$9)),),"Choose mgt fee")))</f>
        <v>-38821</v>
      </c>
      <c r="I50" s="23">
        <f>IF(AND('Part VII-Pro Forma'!$G$8="Yes",'Part VII-Pro Forma'!$G$9="Yes"),"Choose One!",IF('Part VII-Pro Forma'!$G$8="Yes",ROUND((-$K$8*(1+'Part VII-Pro Forma'!$B$6)^('Part VII-Pro Forma'!I43-1)),),IF('Part VII-Pro Forma'!$G$9="Yes",ROUND((-(SUM(I44:I47)*'Part VII-Pro Forma'!$K$9)),),"Choose mgt fee")))</f>
        <v>-39986</v>
      </c>
      <c r="J50" s="23">
        <f>IF(AND('Part VII-Pro Forma'!$G$8="Yes",'Part VII-Pro Forma'!$G$9="Yes"),"Choose One!",IF('Part VII-Pro Forma'!$G$8="Yes",ROUND((-$K$8*(1+'Part VII-Pro Forma'!$B$6)^('Part VII-Pro Forma'!J43-1)),),IF('Part VII-Pro Forma'!$G$9="Yes",ROUND((-(SUM(J44:J47)*'Part VII-Pro Forma'!$K$9)),),"Choose mgt fee")))</f>
        <v>-41185</v>
      </c>
      <c r="K50" s="23">
        <f>IF(AND('Part VII-Pro Forma'!$G$8="Yes",'Part VII-Pro Forma'!$G$9="Yes"),"Choose One!",IF('Part VII-Pro Forma'!$G$8="Yes",ROUND((-$K$8*(1+'Part VII-Pro Forma'!$B$6)^('Part VII-Pro Forma'!K43-1)),),IF('Part VII-Pro Forma'!$G$9="Yes",ROUND((-(SUM(K44:K47)*'Part VII-Pro Forma'!$K$9)),),"Choose mgt fee")))</f>
        <v>-42421</v>
      </c>
      <c r="N50" s="3219"/>
      <c r="O50" s="3220"/>
    </row>
    <row r="51" spans="1:18" ht="13.15" customHeight="1">
      <c r="A51" s="22" t="s">
        <v>1213</v>
      </c>
      <c r="B51" s="23">
        <f t="shared" ref="B51:K51" si="20">$B$21*(1+$B$7)^(B43-1)</f>
        <v>-22577.795172981245</v>
      </c>
      <c r="C51" s="23">
        <f t="shared" si="20"/>
        <v>-23255.129028170682</v>
      </c>
      <c r="D51" s="23">
        <f t="shared" si="20"/>
        <v>-23952.782899015801</v>
      </c>
      <c r="E51" s="23">
        <f t="shared" si="20"/>
        <v>-24671.366385986275</v>
      </c>
      <c r="F51" s="23">
        <f t="shared" si="20"/>
        <v>-25411.507377565864</v>
      </c>
      <c r="G51" s="23">
        <f t="shared" si="20"/>
        <v>-26173.852598892841</v>
      </c>
      <c r="H51" s="23">
        <f t="shared" si="20"/>
        <v>-26959.068176859622</v>
      </c>
      <c r="I51" s="23">
        <f t="shared" si="20"/>
        <v>-27767.840222165411</v>
      </c>
      <c r="J51" s="23">
        <f t="shared" si="20"/>
        <v>-28600.875428830375</v>
      </c>
      <c r="K51" s="24">
        <f t="shared" si="20"/>
        <v>-29458.901691695286</v>
      </c>
      <c r="N51" s="3219"/>
      <c r="O51" s="3220"/>
    </row>
    <row r="52" spans="1:18" ht="13.15" customHeight="1">
      <c r="A52" s="22" t="s">
        <v>1214</v>
      </c>
      <c r="B52" s="23">
        <f t="shared" ref="B52:K52" si="21">SUM(B44:B51)</f>
        <v>48658.128373823158</v>
      </c>
      <c r="C52" s="23">
        <f t="shared" si="21"/>
        <v>47338.580430370792</v>
      </c>
      <c r="D52" s="23">
        <f t="shared" si="21"/>
        <v>45923.103012721622</v>
      </c>
      <c r="E52" s="23">
        <f t="shared" si="21"/>
        <v>44408.606375931704</v>
      </c>
      <c r="F52" s="23">
        <f t="shared" si="21"/>
        <v>42790.885845494719</v>
      </c>
      <c r="G52" s="23">
        <f t="shared" si="21"/>
        <v>41066.617924710154</v>
      </c>
      <c r="H52" s="23">
        <f t="shared" si="21"/>
        <v>39229.356276379302</v>
      </c>
      <c r="I52" s="23">
        <f t="shared" si="21"/>
        <v>37275.527574877007</v>
      </c>
      <c r="J52" s="23">
        <f t="shared" si="21"/>
        <v>35201.427224533676</v>
      </c>
      <c r="K52" s="24">
        <f t="shared" si="21"/>
        <v>33000.214940128339</v>
      </c>
      <c r="N52" s="3219"/>
      <c r="O52" s="3220"/>
    </row>
    <row r="53" spans="1:18" ht="13.15" customHeight="1">
      <c r="A53" s="22" t="str">
        <f>$A23</f>
        <v>Mortgage A</v>
      </c>
      <c r="B53" s="3227"/>
      <c r="C53" s="3227"/>
      <c r="D53" s="3227"/>
      <c r="E53" s="3227"/>
      <c r="F53" s="3227"/>
      <c r="G53" s="3227"/>
      <c r="H53" s="3227"/>
      <c r="I53" s="3227"/>
      <c r="J53" s="3227"/>
      <c r="K53" s="3227"/>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770</v>
      </c>
      <c r="B57" s="3229"/>
      <c r="C57" s="3229"/>
      <c r="D57" s="3229"/>
      <c r="E57" s="3229"/>
      <c r="F57" s="3229"/>
      <c r="G57" s="3229"/>
      <c r="H57" s="3229"/>
      <c r="I57" s="3229"/>
      <c r="J57" s="3229"/>
      <c r="K57" s="3229"/>
      <c r="N57" s="3219"/>
      <c r="O57" s="3220"/>
    </row>
    <row r="58" spans="1:18" ht="13.15" customHeight="1">
      <c r="A58" s="435" t="s">
        <v>1173</v>
      </c>
      <c r="B58" s="3228">
        <v>2000</v>
      </c>
      <c r="C58" s="3228">
        <f t="shared" ref="C58:K58" si="22">+B58</f>
        <v>2000</v>
      </c>
      <c r="D58" s="3228">
        <f t="shared" si="22"/>
        <v>2000</v>
      </c>
      <c r="E58" s="3228">
        <f t="shared" si="22"/>
        <v>2000</v>
      </c>
      <c r="F58" s="3228">
        <f t="shared" si="22"/>
        <v>2000</v>
      </c>
      <c r="G58" s="3228">
        <f t="shared" si="22"/>
        <v>2000</v>
      </c>
      <c r="H58" s="3228">
        <f t="shared" si="22"/>
        <v>2000</v>
      </c>
      <c r="I58" s="3228">
        <f t="shared" si="22"/>
        <v>2000</v>
      </c>
      <c r="J58" s="3228">
        <f t="shared" si="22"/>
        <v>2000</v>
      </c>
      <c r="K58" s="3228">
        <f t="shared" si="22"/>
        <v>2000</v>
      </c>
      <c r="N58" s="3219"/>
      <c r="O58" s="3220"/>
      <c r="Q58" s="1040"/>
      <c r="R58" s="1197"/>
    </row>
    <row r="59" spans="1:18" ht="13.15" customHeight="1">
      <c r="A59" s="435" t="s">
        <v>4133</v>
      </c>
      <c r="B59" s="3231"/>
      <c r="C59" s="3231"/>
      <c r="D59" s="3231"/>
      <c r="E59" s="3231"/>
      <c r="F59" s="3231"/>
      <c r="G59" s="3231"/>
      <c r="H59" s="3231"/>
      <c r="I59" s="3231"/>
      <c r="J59" s="3231"/>
      <c r="K59" s="3231"/>
      <c r="N59" s="3219"/>
      <c r="O59" s="3220"/>
    </row>
    <row r="60" spans="1:18" ht="13.15" customHeight="1">
      <c r="A60" s="22" t="s">
        <v>1174</v>
      </c>
      <c r="B60" s="23">
        <f>SUM(B52:B59)</f>
        <v>50658.128373823158</v>
      </c>
      <c r="C60" s="23">
        <f t="shared" ref="C60:K60" si="23">SUM(C52:C59)</f>
        <v>49338.580430370792</v>
      </c>
      <c r="D60" s="23">
        <f t="shared" si="23"/>
        <v>47923.103012721622</v>
      </c>
      <c r="E60" s="23">
        <f t="shared" si="23"/>
        <v>46408.606375931704</v>
      </c>
      <c r="F60" s="23">
        <f t="shared" si="23"/>
        <v>44790.885845494719</v>
      </c>
      <c r="G60" s="23">
        <f t="shared" si="23"/>
        <v>43066.617924710154</v>
      </c>
      <c r="H60" s="23">
        <f t="shared" si="23"/>
        <v>41229.356276379302</v>
      </c>
      <c r="I60" s="23">
        <f t="shared" si="23"/>
        <v>39275.527574877007</v>
      </c>
      <c r="J60" s="23">
        <f t="shared" si="23"/>
        <v>37201.427224533676</v>
      </c>
      <c r="K60" s="23">
        <f t="shared" si="23"/>
        <v>35000.214940128339</v>
      </c>
      <c r="N60" s="3219"/>
      <c r="O60" s="3220"/>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3741</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219"/>
      <c r="O65" s="3220"/>
    </row>
    <row r="66" spans="1:15" ht="13.15" customHeight="1">
      <c r="A66" s="22" t="s">
        <v>777</v>
      </c>
      <c r="B66" s="274">
        <f t="shared" ref="B66:K66" si="29">IF(OR(B50="Choose mgt fee",B50="Choose One!"),"",(B44+B45+B46+B47+B48) / -(B49+B50+B51))</f>
        <v>1.2121963896963419</v>
      </c>
      <c r="C66" s="274">
        <f t="shared" si="29"/>
        <v>1.2004293224282687</v>
      </c>
      <c r="D66" s="274">
        <f t="shared" si="29"/>
        <v>1.1887727630346927</v>
      </c>
      <c r="E66" s="274">
        <f t="shared" si="29"/>
        <v>1.1772301523284632</v>
      </c>
      <c r="F66" s="274">
        <f t="shared" si="29"/>
        <v>1.1657998751296774</v>
      </c>
      <c r="G66" s="274">
        <f t="shared" si="29"/>
        <v>1.1544848606635372</v>
      </c>
      <c r="H66" s="274">
        <f t="shared" si="29"/>
        <v>1.1432750171275736</v>
      </c>
      <c r="I66" s="274">
        <f t="shared" si="29"/>
        <v>1.1321737743021094</v>
      </c>
      <c r="J66" s="274">
        <f t="shared" si="29"/>
        <v>1.121184034576121</v>
      </c>
      <c r="K66" s="275">
        <f t="shared" si="29"/>
        <v>1.1102970827518175</v>
      </c>
      <c r="N66" s="3219"/>
      <c r="O66" s="3220"/>
    </row>
    <row r="67" spans="1:15" ht="13.15" customHeight="1">
      <c r="A67" s="435" t="s">
        <v>2633</v>
      </c>
      <c r="B67" s="3232" t="str">
        <f>IF('Part III-Sources of Funds'!$I$37="","",-FV('Part III-Sources of Funds'!$K$37/12,12,B53/12,K37))</f>
        <v/>
      </c>
      <c r="C67" s="3232" t="str">
        <f>IF('Part III-Sources of Funds'!$I$37="","",-FV('Part III-Sources of Funds'!$K$37/12,12,C53/12,B67))</f>
        <v/>
      </c>
      <c r="D67" s="3232" t="str">
        <f>IF('Part III-Sources of Funds'!$I$37="","",-FV('Part III-Sources of Funds'!$K$37/12,12,D53/12,C67))</f>
        <v/>
      </c>
      <c r="E67" s="3232" t="str">
        <f>IF('Part III-Sources of Funds'!$I$37="","",-FV('Part III-Sources of Funds'!$K$37/12,12,E53/12,D67))</f>
        <v/>
      </c>
      <c r="F67" s="3232" t="str">
        <f>IF('Part III-Sources of Funds'!$I$37="","",-FV('Part III-Sources of Funds'!$K$37/12,12,F53/12,E67))</f>
        <v/>
      </c>
      <c r="G67" s="3232" t="str">
        <f>IF('Part III-Sources of Funds'!$I$37="","",-FV('Part III-Sources of Funds'!$K$37/12,12,G53/12,F67))</f>
        <v/>
      </c>
      <c r="H67" s="3232" t="str">
        <f>IF('Part III-Sources of Funds'!$I$37="","",-FV('Part III-Sources of Funds'!$K$37/12,12,H53/12,G67))</f>
        <v/>
      </c>
      <c r="I67" s="3232" t="str">
        <f>IF('Part III-Sources of Funds'!$I$37="","",-FV('Part III-Sources of Funds'!$K$37/12,12,I53/12,H67))</f>
        <v/>
      </c>
      <c r="J67" s="3232" t="str">
        <f>IF('Part III-Sources of Funds'!$I$37="","",-FV('Part III-Sources of Funds'!$K$37/12,12,J53/12,I67))</f>
        <v/>
      </c>
      <c r="K67" s="3232" t="str">
        <f>IF('Part III-Sources of Funds'!$I$37="","",-FV('Part III-Sources of Funds'!$K$37/12,12,K53/12,J67))</f>
        <v/>
      </c>
      <c r="N67" s="3219"/>
      <c r="O67" s="3220"/>
    </row>
    <row r="68" spans="1:15" ht="13.15" customHeight="1">
      <c r="A68" s="435" t="s">
        <v>2634</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2635</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791</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4134</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2639</v>
      </c>
      <c r="O73" s="1699"/>
    </row>
    <row r="74" spans="1:15" ht="13.15" customHeight="1">
      <c r="A74" s="19" t="s">
        <v>2419</v>
      </c>
      <c r="B74" s="20">
        <f t="shared" ref="B74:K74" si="31">$B$14*(1+$B$5)^(B73-1)</f>
        <v>357197.97883486073</v>
      </c>
      <c r="C74" s="20">
        <f t="shared" si="31"/>
        <v>364341.93841155787</v>
      </c>
      <c r="D74" s="20">
        <f t="shared" si="31"/>
        <v>371628.77717978909</v>
      </c>
      <c r="E74" s="20">
        <f t="shared" si="31"/>
        <v>379061.3527233848</v>
      </c>
      <c r="F74" s="20">
        <f t="shared" si="31"/>
        <v>386642.57977785252</v>
      </c>
      <c r="G74" s="20">
        <f t="shared" si="31"/>
        <v>394375.43137340952</v>
      </c>
      <c r="H74" s="20">
        <f t="shared" si="31"/>
        <v>402262.94000087777</v>
      </c>
      <c r="I74" s="20">
        <f t="shared" si="31"/>
        <v>410308.19880089525</v>
      </c>
      <c r="J74" s="20">
        <f t="shared" si="31"/>
        <v>418514.36277691327</v>
      </c>
      <c r="K74" s="21">
        <f t="shared" si="31"/>
        <v>426884.65003245143</v>
      </c>
      <c r="N74" s="3217"/>
      <c r="O74" s="3218"/>
    </row>
    <row r="75" spans="1:15" ht="13.15" customHeight="1">
      <c r="A75" s="22" t="s">
        <v>1025</v>
      </c>
      <c r="B75" s="23">
        <f t="shared" ref="B75:K75" si="32">$B$15*(1+$B$5)^(B73-1)</f>
        <v>7143.9595766972143</v>
      </c>
      <c r="C75" s="23">
        <f t="shared" si="32"/>
        <v>7286.8387682311586</v>
      </c>
      <c r="D75" s="23">
        <f t="shared" si="32"/>
        <v>7432.5755435957817</v>
      </c>
      <c r="E75" s="23">
        <f t="shared" si="32"/>
        <v>7581.2270544676958</v>
      </c>
      <c r="F75" s="23">
        <f t="shared" si="32"/>
        <v>7732.8515955570501</v>
      </c>
      <c r="G75" s="23">
        <f t="shared" si="32"/>
        <v>7887.5086274681917</v>
      </c>
      <c r="H75" s="23">
        <f t="shared" si="32"/>
        <v>8045.2588000175565</v>
      </c>
      <c r="I75" s="23">
        <f t="shared" si="32"/>
        <v>8206.163976017906</v>
      </c>
      <c r="J75" s="23">
        <f t="shared" si="32"/>
        <v>8370.2872555382655</v>
      </c>
      <c r="K75" s="24">
        <f t="shared" si="32"/>
        <v>8537.6930006490293</v>
      </c>
      <c r="N75" s="3219"/>
      <c r="O75" s="3220"/>
    </row>
    <row r="76" spans="1:15" ht="13.15" customHeight="1">
      <c r="A76" s="22" t="s">
        <v>2420</v>
      </c>
      <c r="B76" s="23">
        <f t="shared" ref="B76:K76" si="33">-(B74+B75)*$B$8</f>
        <v>-25503.935688809059</v>
      </c>
      <c r="C76" s="23">
        <f t="shared" si="33"/>
        <v>-26014.014402585235</v>
      </c>
      <c r="D76" s="23">
        <f t="shared" si="33"/>
        <v>-26534.294690636943</v>
      </c>
      <c r="E76" s="23">
        <f t="shared" si="33"/>
        <v>-27064.98058444968</v>
      </c>
      <c r="F76" s="23">
        <f t="shared" si="33"/>
        <v>-27606.280196138672</v>
      </c>
      <c r="G76" s="23">
        <f t="shared" si="33"/>
        <v>-28158.405800061442</v>
      </c>
      <c r="H76" s="23">
        <f t="shared" si="33"/>
        <v>-28721.573916062673</v>
      </c>
      <c r="I76" s="23">
        <f t="shared" si="33"/>
        <v>-29296.005394383923</v>
      </c>
      <c r="J76" s="23">
        <f t="shared" si="33"/>
        <v>-29881.92550227161</v>
      </c>
      <c r="K76" s="24">
        <f t="shared" si="33"/>
        <v>-30479.564012317038</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619</v>
      </c>
      <c r="B79" s="23">
        <f t="shared" ref="B79:K79" si="34">$B$19*(1+$B$6)^(B73-1)</f>
        <v>-234133.42379513473</v>
      </c>
      <c r="C79" s="23">
        <f t="shared" si="34"/>
        <v>-241157.42650898872</v>
      </c>
      <c r="D79" s="23">
        <f t="shared" si="34"/>
        <v>-248392.1493042584</v>
      </c>
      <c r="E79" s="23">
        <f t="shared" si="34"/>
        <v>-255843.91378338618</v>
      </c>
      <c r="F79" s="23">
        <f t="shared" si="34"/>
        <v>-263519.23119688773</v>
      </c>
      <c r="G79" s="23">
        <f t="shared" si="34"/>
        <v>-271424.80813279434</v>
      </c>
      <c r="H79" s="23">
        <f t="shared" si="34"/>
        <v>-279567.55237677821</v>
      </c>
      <c r="I79" s="23">
        <f t="shared" si="34"/>
        <v>-287954.57894808153</v>
      </c>
      <c r="J79" s="23">
        <f t="shared" si="34"/>
        <v>-296593.21631652396</v>
      </c>
      <c r="K79" s="24">
        <f t="shared" si="34"/>
        <v>-305491.01280601969</v>
      </c>
      <c r="N79" s="3219"/>
      <c r="O79" s="3220"/>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-43693</v>
      </c>
      <c r="C80" s="23">
        <f>IF(AND('Part VII-Pro Forma'!$G$8="Yes",'Part VII-Pro Forma'!$G$9="Yes"),"Choose One!",IF('Part VII-Pro Forma'!$G$8="Yes",ROUND((-$K$8*(1+'Part VII-Pro Forma'!$B$6)^('Part VII-Pro Forma'!C73-1)),),IF('Part VII-Pro Forma'!$G$9="Yes",ROUND((-(SUM(C74:C77)*'Part VII-Pro Forma'!$K$9)),),"Choose mgt fee")))</f>
        <v>-45004</v>
      </c>
      <c r="D80" s="23">
        <f>IF(AND('Part VII-Pro Forma'!$G$8="Yes",'Part VII-Pro Forma'!$G$9="Yes"),"Choose One!",IF('Part VII-Pro Forma'!$G$8="Yes",ROUND((-$K$8*(1+'Part VII-Pro Forma'!$B$6)^('Part VII-Pro Forma'!D73-1)),),IF('Part VII-Pro Forma'!$G$9="Yes",ROUND((-(SUM(D74:D77)*'Part VII-Pro Forma'!$K$9)),),"Choose mgt fee")))</f>
        <v>-46354</v>
      </c>
      <c r="E80" s="23">
        <f>IF(AND('Part VII-Pro Forma'!$G$8="Yes",'Part VII-Pro Forma'!$G$9="Yes"),"Choose One!",IF('Part VII-Pro Forma'!$G$8="Yes",ROUND((-$K$8*(1+'Part VII-Pro Forma'!$B$6)^('Part VII-Pro Forma'!E73-1)),),IF('Part VII-Pro Forma'!$G$9="Yes",ROUND((-(SUM(E74:E77)*'Part VII-Pro Forma'!$K$9)),),"Choose mgt fee")))</f>
        <v>-47745</v>
      </c>
      <c r="F80" s="23">
        <f>IF(AND('Part VII-Pro Forma'!$G$8="Yes",'Part VII-Pro Forma'!$G$9="Yes"),"Choose One!",IF('Part VII-Pro Forma'!$G$8="Yes",ROUND((-$K$8*(1+'Part VII-Pro Forma'!$B$6)^('Part VII-Pro Forma'!F73-1)),),IF('Part VII-Pro Forma'!$G$9="Yes",ROUND((-(SUM(F74:F77)*'Part VII-Pro Forma'!$K$9)),),"Choose mgt fee")))</f>
        <v>-49177</v>
      </c>
      <c r="G80" s="23">
        <f>IF(AND('Part VII-Pro Forma'!$G$8="Yes",'Part VII-Pro Forma'!$G$9="Yes"),"Choose One!",IF('Part VII-Pro Forma'!$G$8="Yes",ROUND((-$K$8*(1+'Part VII-Pro Forma'!$B$6)^('Part VII-Pro Forma'!G73-1)),),IF('Part VII-Pro Forma'!$G$9="Yes",ROUND((-(SUM(G74:G77)*'Part VII-Pro Forma'!$K$9)),),"Choose mgt fee")))</f>
        <v>-50653</v>
      </c>
      <c r="H80" s="23">
        <f>IF(AND('Part VII-Pro Forma'!$G$8="Yes",'Part VII-Pro Forma'!$G$9="Yes"),"Choose One!",IF('Part VII-Pro Forma'!$G$8="Yes",ROUND((-$K$8*(1+'Part VII-Pro Forma'!$B$6)^('Part VII-Pro Forma'!H73-1)),),IF('Part VII-Pro Forma'!$G$9="Yes",ROUND((-(SUM(H74:H77)*'Part VII-Pro Forma'!$K$9)),),"Choose mgt fee")))</f>
        <v>-52172</v>
      </c>
      <c r="I80" s="23">
        <f>IF(AND('Part VII-Pro Forma'!$G$8="Yes",'Part VII-Pro Forma'!$G$9="Yes"),"Choose One!",IF('Part VII-Pro Forma'!$G$8="Yes",ROUND((-$K$8*(1+'Part VII-Pro Forma'!$B$6)^('Part VII-Pro Forma'!I73-1)),),IF('Part VII-Pro Forma'!$G$9="Yes",ROUND((-(SUM(I74:I77)*'Part VII-Pro Forma'!$K$9)),),"Choose mgt fee")))</f>
        <v>-53737</v>
      </c>
      <c r="J80" s="23">
        <f>IF(AND('Part VII-Pro Forma'!$G$8="Yes",'Part VII-Pro Forma'!$G$9="Yes"),"Choose One!",IF('Part VII-Pro Forma'!$G$8="Yes",ROUND((-$K$8*(1+'Part VII-Pro Forma'!$B$6)^('Part VII-Pro Forma'!J73-1)),),IF('Part VII-Pro Forma'!$G$9="Yes",ROUND((-(SUM(J74:J77)*'Part VII-Pro Forma'!$K$9)),),"Choose mgt fee")))</f>
        <v>-55350</v>
      </c>
      <c r="K80" s="23">
        <f>IF(AND('Part VII-Pro Forma'!$G$8="Yes",'Part VII-Pro Forma'!$G$9="Yes"),"Choose One!",IF('Part VII-Pro Forma'!$G$8="Yes",ROUND((-$K$8*(1+'Part VII-Pro Forma'!$B$6)^('Part VII-Pro Forma'!K73-1)),),IF('Part VII-Pro Forma'!$G$9="Yes",ROUND((-(SUM(K74:K77)*'Part VII-Pro Forma'!$K$9)),),"Choose mgt fee")))</f>
        <v>-57010</v>
      </c>
      <c r="N80" s="3219"/>
      <c r="O80" s="3220"/>
    </row>
    <row r="81" spans="1:15" ht="13.15" customHeight="1">
      <c r="A81" s="22" t="s">
        <v>1213</v>
      </c>
      <c r="B81" s="23">
        <f t="shared" ref="B81:K81" si="35">$B$21*(1+$B$7)^(B73-1)</f>
        <v>-30342.668742446142</v>
      </c>
      <c r="C81" s="23">
        <f t="shared" si="35"/>
        <v>-31252.948804719523</v>
      </c>
      <c r="D81" s="23">
        <f t="shared" si="35"/>
        <v>-32190.537268861113</v>
      </c>
      <c r="E81" s="23">
        <f t="shared" si="35"/>
        <v>-33156.253386926946</v>
      </c>
      <c r="F81" s="23">
        <f t="shared" si="35"/>
        <v>-34150.940988534749</v>
      </c>
      <c r="G81" s="23">
        <f t="shared" si="35"/>
        <v>-35175.469218190796</v>
      </c>
      <c r="H81" s="23">
        <f t="shared" si="35"/>
        <v>-36230.733294736521</v>
      </c>
      <c r="I81" s="23">
        <f t="shared" si="35"/>
        <v>-37317.655293578609</v>
      </c>
      <c r="J81" s="23">
        <f t="shared" si="35"/>
        <v>-38437.184952385971</v>
      </c>
      <c r="K81" s="24">
        <f t="shared" si="35"/>
        <v>-39590.300500957543</v>
      </c>
      <c r="N81" s="3219"/>
      <c r="O81" s="3220"/>
    </row>
    <row r="82" spans="1:15" ht="13.15" customHeight="1">
      <c r="A82" s="22" t="s">
        <v>1214</v>
      </c>
      <c r="B82" s="23">
        <f t="shared" ref="B82:K82" si="36">SUM(B74:B81)</f>
        <v>30668.910185167973</v>
      </c>
      <c r="C82" s="23">
        <f t="shared" si="36"/>
        <v>28200.387463495568</v>
      </c>
      <c r="D82" s="23">
        <f t="shared" si="36"/>
        <v>25590.371459628423</v>
      </c>
      <c r="E82" s="23">
        <f t="shared" si="36"/>
        <v>22832.432023089736</v>
      </c>
      <c r="F82" s="23">
        <f t="shared" si="36"/>
        <v>19921.978991848438</v>
      </c>
      <c r="G82" s="23">
        <f t="shared" si="36"/>
        <v>16851.256849831167</v>
      </c>
      <c r="H82" s="23">
        <f t="shared" si="36"/>
        <v>13616.339213317915</v>
      </c>
      <c r="I82" s="23">
        <f t="shared" si="36"/>
        <v>10209.123140869102</v>
      </c>
      <c r="J82" s="23">
        <f t="shared" si="36"/>
        <v>6622.323261269994</v>
      </c>
      <c r="K82" s="24">
        <f t="shared" si="36"/>
        <v>2851.465713806203</v>
      </c>
      <c r="N82" s="3219"/>
      <c r="O82" s="3220"/>
    </row>
    <row r="83" spans="1:15" ht="13.15" customHeight="1">
      <c r="A83" s="22" t="str">
        <f>$A53</f>
        <v>Mortgage A</v>
      </c>
      <c r="B83" s="3227">
        <f>IF('Part III-Sources of Funds'!$N$37="", 0,-'Part III-Sources of Funds'!$N$37)</f>
        <v>0</v>
      </c>
      <c r="C83" s="3227">
        <f>IF('Part III-Sources of Funds'!$N$37="", 0,-'Part III-Sources of Funds'!$N$37)</f>
        <v>0</v>
      </c>
      <c r="D83" s="3227">
        <f>IF('Part III-Sources of Funds'!$N$37="", 0,-'Part III-Sources of Funds'!$N$37)</f>
        <v>0</v>
      </c>
      <c r="E83" s="3227">
        <f>IF('Part III-Sources of Funds'!$N$37="", 0,-'Part III-Sources of Funds'!$N$37)</f>
        <v>0</v>
      </c>
      <c r="F83" s="3227">
        <f>IF('Part III-Sources of Funds'!$N$37="", 0,-'Part III-Sources of Funds'!$N$37)</f>
        <v>0</v>
      </c>
      <c r="G83" s="3227">
        <f>IF('Part III-Sources of Funds'!$N$37="", 0,-'Part III-Sources of Funds'!$N$37)</f>
        <v>0</v>
      </c>
      <c r="H83" s="3227">
        <f>IF('Part III-Sources of Funds'!$N$37="", 0,-'Part III-Sources of Funds'!$N$37)</f>
        <v>0</v>
      </c>
      <c r="I83" s="3227">
        <f>IF('Part III-Sources of Funds'!$N$37="", 0,-'Part III-Sources of Funds'!$N$37)</f>
        <v>0</v>
      </c>
      <c r="J83" s="3227">
        <f>IF('Part III-Sources of Funds'!$N$37="", 0,-'Part III-Sources of Funds'!$N$37)</f>
        <v>0</v>
      </c>
      <c r="K83" s="3227">
        <f>IF('Part III-Sources of Funds'!$N$37="", 0,-'Part III-Sources of Funds'!$N$37)</f>
        <v>0</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770</v>
      </c>
      <c r="B87" s="3229"/>
      <c r="C87" s="3229"/>
      <c r="D87" s="3229"/>
      <c r="E87" s="3229"/>
      <c r="F87" s="3229"/>
      <c r="G87" s="3229"/>
      <c r="H87" s="3229"/>
      <c r="I87" s="3229"/>
      <c r="J87" s="3229"/>
      <c r="K87" s="3229"/>
      <c r="N87" s="3219"/>
      <c r="O87" s="3220"/>
    </row>
    <row r="88" spans="1:15" ht="13.15" customHeight="1">
      <c r="A88" s="435" t="s">
        <v>1173</v>
      </c>
      <c r="B88" s="3231">
        <f>+K58</f>
        <v>2000</v>
      </c>
      <c r="C88" s="3231">
        <f t="shared" ref="C88:K88" si="37">+B88</f>
        <v>2000</v>
      </c>
      <c r="D88" s="3231">
        <f t="shared" si="37"/>
        <v>2000</v>
      </c>
      <c r="E88" s="3231">
        <f t="shared" si="37"/>
        <v>2000</v>
      </c>
      <c r="F88" s="3231">
        <f t="shared" si="37"/>
        <v>2000</v>
      </c>
      <c r="G88" s="3231">
        <f t="shared" si="37"/>
        <v>2000</v>
      </c>
      <c r="H88" s="3231">
        <f t="shared" si="37"/>
        <v>2000</v>
      </c>
      <c r="I88" s="3231">
        <f t="shared" si="37"/>
        <v>2000</v>
      </c>
      <c r="J88" s="3231">
        <f t="shared" si="37"/>
        <v>2000</v>
      </c>
      <c r="K88" s="3231">
        <f t="shared" si="37"/>
        <v>2000</v>
      </c>
      <c r="N88" s="3219"/>
      <c r="O88" s="3220"/>
    </row>
    <row r="89" spans="1:15" ht="13.15" customHeight="1">
      <c r="A89" s="22" t="s">
        <v>1174</v>
      </c>
      <c r="B89" s="23">
        <f t="shared" ref="B89:K89" si="38">SUM(B82:B88)</f>
        <v>32668.910185167973</v>
      </c>
      <c r="C89" s="23">
        <f t="shared" si="38"/>
        <v>30200.387463495568</v>
      </c>
      <c r="D89" s="23">
        <f t="shared" si="38"/>
        <v>27590.371459628423</v>
      </c>
      <c r="E89" s="23">
        <f t="shared" si="38"/>
        <v>24832.432023089736</v>
      </c>
      <c r="F89" s="23">
        <f t="shared" si="38"/>
        <v>21921.978991848438</v>
      </c>
      <c r="G89" s="23">
        <f t="shared" si="38"/>
        <v>18851.256849831167</v>
      </c>
      <c r="H89" s="23">
        <f t="shared" si="38"/>
        <v>15616.339213317915</v>
      </c>
      <c r="I89" s="23">
        <f t="shared" si="38"/>
        <v>12209.123140869102</v>
      </c>
      <c r="J89" s="23">
        <f t="shared" si="38"/>
        <v>8622.323261269994</v>
      </c>
      <c r="K89" s="24">
        <f t="shared" si="38"/>
        <v>4851.465713806203</v>
      </c>
      <c r="N89" s="3219"/>
      <c r="O89" s="3220"/>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9"/>
      <c r="O94" s="3220"/>
    </row>
    <row r="95" spans="1:15" ht="13.15" customHeight="1">
      <c r="A95" s="22" t="s">
        <v>777</v>
      </c>
      <c r="B95" s="274">
        <f>IF(OR(B80="Choose mgt fee",B80="Choose One!"),"",(B74+B75+B76+B77+B78) / -(B79+B80+B81))</f>
        <v>1.0995197472031624</v>
      </c>
      <c r="C95" s="274">
        <f t="shared" ref="C95:K95" si="44">IF(OR(C80="Choose mgt fee",C80="Choose One!"),"",(C74+C75+C76+C77+C78) / -(C79+C80+C81))</f>
        <v>1.0888440778261048</v>
      </c>
      <c r="D95" s="274">
        <f t="shared" si="44"/>
        <v>1.0782731718726986</v>
      </c>
      <c r="E95" s="274">
        <f t="shared" si="44"/>
        <v>1.0678032953373966</v>
      </c>
      <c r="F95" s="274">
        <f t="shared" si="44"/>
        <v>1.0574373401008967</v>
      </c>
      <c r="G95" s="274">
        <f t="shared" si="44"/>
        <v>1.0471689356491909</v>
      </c>
      <c r="H95" s="274">
        <f t="shared" si="44"/>
        <v>1.0370039096729489</v>
      </c>
      <c r="I95" s="274">
        <f t="shared" si="44"/>
        <v>1.0269363440742967</v>
      </c>
      <c r="J95" s="274">
        <f t="shared" si="44"/>
        <v>1.0169637697992637</v>
      </c>
      <c r="K95" s="275">
        <f t="shared" si="44"/>
        <v>1.0070915874564772</v>
      </c>
      <c r="N95" s="3219"/>
      <c r="O95" s="3220"/>
    </row>
    <row r="96" spans="1:15" ht="13.15" customHeight="1">
      <c r="A96" s="435" t="s">
        <v>2633</v>
      </c>
      <c r="B96" s="3232" t="str">
        <f>IF('Part III-Sources of Funds'!$I$37="","",-FV('Part III-Sources of Funds'!$K$37/12,12,B83/12,K67))</f>
        <v/>
      </c>
      <c r="C96" s="3232" t="str">
        <f>IF('Part III-Sources of Funds'!$I$37="","",-FV('Part III-Sources of Funds'!$K$37/12,12,C83/12,B96))</f>
        <v/>
      </c>
      <c r="D96" s="3232" t="str">
        <f>IF('Part III-Sources of Funds'!$I$37="","",-FV('Part III-Sources of Funds'!$K$37/12,12,D83/12,C96))</f>
        <v/>
      </c>
      <c r="E96" s="3232" t="str">
        <f>IF('Part III-Sources of Funds'!$I$37="","",-FV('Part III-Sources of Funds'!$K$37/12,12,E83/12,D96))</f>
        <v/>
      </c>
      <c r="F96" s="3232" t="str">
        <f>IF('Part III-Sources of Funds'!$I$37="","",-FV('Part III-Sources of Funds'!$K$37/12,12,F83/12,E96))</f>
        <v/>
      </c>
      <c r="G96" s="3232" t="str">
        <f>IF('Part III-Sources of Funds'!$I$37="","",-FV('Part III-Sources of Funds'!$K$37/12,12,G83/12,F96))</f>
        <v/>
      </c>
      <c r="H96" s="3232" t="str">
        <f>IF('Part III-Sources of Funds'!$I$37="","",-FV('Part III-Sources of Funds'!$K$37/12,12,H83/12,G96))</f>
        <v/>
      </c>
      <c r="I96" s="3232" t="str">
        <f>IF('Part III-Sources of Funds'!$I$37="","",-FV('Part III-Sources of Funds'!$K$37/12,12,I83/12,H96))</f>
        <v/>
      </c>
      <c r="J96" s="3232" t="str">
        <f>IF('Part III-Sources of Funds'!$I$37="","",-FV('Part III-Sources of Funds'!$K$37/12,12,J83/12,I96))</f>
        <v/>
      </c>
      <c r="K96" s="3232" t="str">
        <f>IF('Part III-Sources of Funds'!$I$37="","",-FV('Part III-Sources of Funds'!$K$37/12,12,K83/12,J96))</f>
        <v/>
      </c>
      <c r="N96" s="3219"/>
      <c r="O96" s="3220"/>
    </row>
    <row r="97" spans="1:15" ht="13.15" customHeight="1">
      <c r="A97" s="435" t="s">
        <v>2634</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2635</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791</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2419</v>
      </c>
      <c r="B102" s="20">
        <f>$B$14*(1+$B$5)^(B101-1)</f>
        <v>435422.34303310054</v>
      </c>
      <c r="C102" s="20">
        <f>$B$14*(1+$B$5)^(C101-1)</f>
        <v>444130.78989376244</v>
      </c>
      <c r="D102" s="20">
        <f>$B$14*(1+$B$5)^(D101-1)</f>
        <v>453013.40569163777</v>
      </c>
      <c r="E102" s="20">
        <f>$B$14*(1+$B$5)^(E101-1)</f>
        <v>462073.67380547058</v>
      </c>
      <c r="F102" s="670">
        <f>$B$14*(1+$B$5)^(F101-1)</f>
        <v>471315.14728157991</v>
      </c>
      <c r="G102" s="18"/>
      <c r="H102" s="18"/>
      <c r="I102" s="18"/>
      <c r="J102" s="18"/>
      <c r="K102" s="18"/>
      <c r="N102" s="3217"/>
      <c r="O102" s="3218"/>
    </row>
    <row r="103" spans="1:15" ht="13.15" customHeight="1">
      <c r="A103" s="22" t="s">
        <v>1025</v>
      </c>
      <c r="B103" s="23">
        <f>$B$15*(1+$B$5)^(B101-1)</f>
        <v>8708.4468606620103</v>
      </c>
      <c r="C103" s="23">
        <f>$B$15*(1+$B$5)^(C101-1)</f>
        <v>8882.615797875249</v>
      </c>
      <c r="D103" s="23">
        <f>$B$15*(1+$B$5)^(D101-1)</f>
        <v>9060.2681138327553</v>
      </c>
      <c r="E103" s="23">
        <f>$B$15*(1+$B$5)^(E101-1)</f>
        <v>9241.4734761094114</v>
      </c>
      <c r="F103" s="24">
        <f>$B$15*(1+$B$5)^(F101-1)</f>
        <v>9426.3029456315999</v>
      </c>
      <c r="G103" s="18"/>
      <c r="H103" s="18"/>
      <c r="I103" s="18"/>
      <c r="J103" s="18"/>
      <c r="K103" s="18"/>
      <c r="N103" s="3219"/>
      <c r="O103" s="3220"/>
    </row>
    <row r="104" spans="1:15" ht="13.15" customHeight="1">
      <c r="A104" s="22" t="s">
        <v>2420</v>
      </c>
      <c r="B104" s="23">
        <f>-(B102+B103)*$B$8</f>
        <v>-31089.15529256338</v>
      </c>
      <c r="C104" s="23">
        <f>-(C102+C103)*$B$8</f>
        <v>-31710.938398414644</v>
      </c>
      <c r="D104" s="23">
        <f>-(D102+D103)*$B$8</f>
        <v>-32345.157166382938</v>
      </c>
      <c r="E104" s="23">
        <f>-(E102+E103)*$B$8</f>
        <v>-32992.0603097106</v>
      </c>
      <c r="F104" s="24">
        <f>-(F102+F103)*$B$8</f>
        <v>-33651.901515904807</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619</v>
      </c>
      <c r="B107" s="23">
        <f>$B$19*(1+$B$6)^(B101-1)</f>
        <v>-314655.74319020024</v>
      </c>
      <c r="C107" s="23">
        <f>$B$19*(1+$B$6)^(C101-1)</f>
        <v>-324095.41548590636</v>
      </c>
      <c r="D107" s="23">
        <f>$B$19*(1+$B$6)^(D101-1)</f>
        <v>-333818.27795048343</v>
      </c>
      <c r="E107" s="23">
        <f>$B$19*(1+$B$6)^(E101-1)</f>
        <v>-343832.82628899795</v>
      </c>
      <c r="F107" s="24">
        <f>$B$19*(1+$B$6)^(F101-1)</f>
        <v>-354147.81107766787</v>
      </c>
      <c r="G107" s="18"/>
      <c r="H107" s="18"/>
      <c r="I107" s="18"/>
      <c r="J107" s="18"/>
      <c r="K107" s="18"/>
      <c r="N107" s="3219"/>
      <c r="O107" s="3220"/>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-58720</v>
      </c>
      <c r="C108" s="23">
        <f>IF(AND('Part VII-Pro Forma'!$G$8="Yes",'Part VII-Pro Forma'!$G$9="Yes"),"Choose One!",IF('Part VII-Pro Forma'!$G$8="Yes",ROUND((-$K$8*(1+'Part VII-Pro Forma'!$B$6)^('Part VII-Pro Forma'!C101-1)),),IF('Part VII-Pro Forma'!$G$9="Yes",ROUND((-(SUM(C102:C105)*'Part VII-Pro Forma'!$K$9)),),"Choose mgt fee")))</f>
        <v>-60482</v>
      </c>
      <c r="D108" s="23">
        <f>IF(AND('Part VII-Pro Forma'!$G$8="Yes",'Part VII-Pro Forma'!$G$9="Yes"),"Choose One!",IF('Part VII-Pro Forma'!$G$8="Yes",ROUND((-$K$8*(1+'Part VII-Pro Forma'!$B$6)^('Part VII-Pro Forma'!D101-1)),),IF('Part VII-Pro Forma'!$G$9="Yes",ROUND((-(SUM(D102:D105)*'Part VII-Pro Forma'!$K$9)),),"Choose mgt fee")))</f>
        <v>-62296</v>
      </c>
      <c r="E108" s="23">
        <f>IF(AND('Part VII-Pro Forma'!$G$8="Yes",'Part VII-Pro Forma'!$G$9="Yes"),"Choose One!",IF('Part VII-Pro Forma'!$G$8="Yes",ROUND((-$K$8*(1+'Part VII-Pro Forma'!$B$6)^('Part VII-Pro Forma'!E101-1)),),IF('Part VII-Pro Forma'!$G$9="Yes",ROUND((-(SUM(E102:E105)*'Part VII-Pro Forma'!$K$9)),),"Choose mgt fee")))</f>
        <v>-64165</v>
      </c>
      <c r="F108" s="24">
        <f>IF(AND('Part VII-Pro Forma'!$G$8="Yes",'Part VII-Pro Forma'!$G$9="Yes"),"Choose One!",IF('Part VII-Pro Forma'!$G$8="Yes",ROUND((-$K$8*(1+'Part VII-Pro Forma'!$B$6)^('Part VII-Pro Forma'!F101-1)),),IF('Part VII-Pro Forma'!$G$9="Yes",ROUND((-(SUM(F102:F105)*'Part VII-Pro Forma'!$K$9)),),"Choose mgt fee")))</f>
        <v>-66090</v>
      </c>
      <c r="G108" s="18"/>
      <c r="H108" s="18"/>
      <c r="I108" s="18"/>
      <c r="J108" s="18"/>
      <c r="K108" s="18"/>
      <c r="N108" s="3219"/>
      <c r="O108" s="3220"/>
    </row>
    <row r="109" spans="1:15" ht="13.15" customHeight="1">
      <c r="A109" s="22" t="s">
        <v>1213</v>
      </c>
      <c r="B109" s="23">
        <f>$B$21*(1+$B$7)^(B101-1)</f>
        <v>-40778.009515986276</v>
      </c>
      <c r="C109" s="23">
        <f>$B$21*(1+$B$7)^(C101-1)</f>
        <v>-42001.349801465869</v>
      </c>
      <c r="D109" s="23">
        <f>$B$21*(1+$B$7)^(D101-1)</f>
        <v>-43261.390295509838</v>
      </c>
      <c r="E109" s="23">
        <f>$B$21*(1+$B$7)^(E101-1)</f>
        <v>-44559.232004375132</v>
      </c>
      <c r="F109" s="24">
        <f>$B$21*(1+$B$7)^(F101-1)</f>
        <v>-45896.008964506378</v>
      </c>
      <c r="G109" s="18"/>
      <c r="H109" s="18"/>
      <c r="I109" s="18"/>
      <c r="J109" s="18"/>
      <c r="K109" s="18"/>
      <c r="N109" s="3219"/>
      <c r="O109" s="3220"/>
    </row>
    <row r="110" spans="1:15" ht="13.15" customHeight="1">
      <c r="A110" s="22" t="s">
        <v>1214</v>
      </c>
      <c r="B110" s="23">
        <f>SUM(B102:B109)</f>
        <v>-1112.1181049873339</v>
      </c>
      <c r="C110" s="23">
        <f>SUM(C102:C109)</f>
        <v>-5276.2979941491503</v>
      </c>
      <c r="D110" s="23">
        <f>SUM(D102:D109)</f>
        <v>-9647.1516069056888</v>
      </c>
      <c r="E110" s="23">
        <f>SUM(E102:E109)</f>
        <v>-14233.971321503741</v>
      </c>
      <c r="F110" s="24">
        <f>SUM(F102:F109)</f>
        <v>-19044.271330867537</v>
      </c>
      <c r="G110" s="18"/>
      <c r="H110" s="18"/>
      <c r="I110" s="18"/>
      <c r="J110" s="18"/>
      <c r="K110" s="18"/>
      <c r="N110" s="3219"/>
      <c r="O110" s="3220"/>
    </row>
    <row r="111" spans="1:15" ht="13.15" customHeight="1">
      <c r="A111" s="22" t="str">
        <f>$A83</f>
        <v>Mortgage A</v>
      </c>
      <c r="B111" s="3227">
        <f>IF('Part III-Sources of Funds'!$N$37="", 0,-'Part III-Sources of Funds'!$N$37)</f>
        <v>0</v>
      </c>
      <c r="C111" s="3227">
        <f>IF('Part III-Sources of Funds'!$N$37="", 0,-'Part III-Sources of Funds'!$N$37)</f>
        <v>0</v>
      </c>
      <c r="D111" s="3227">
        <f>IF('Part III-Sources of Funds'!$N$37="", 0,-'Part III-Sources of Funds'!$N$37)</f>
        <v>0</v>
      </c>
      <c r="E111" s="3227">
        <f>IF('Part III-Sources of Funds'!$N$37="", 0,-'Part III-Sources of Funds'!$N$37)</f>
        <v>0</v>
      </c>
      <c r="F111" s="3227">
        <f>IF('Part III-Sources of Funds'!$N$37="", 0,-'Part III-Sources of Funds'!$N$37)</f>
        <v>0</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770</v>
      </c>
      <c r="B115" s="3229"/>
      <c r="C115" s="3229"/>
      <c r="D115" s="3229"/>
      <c r="E115" s="3229"/>
      <c r="F115" s="3229"/>
      <c r="G115" s="18"/>
      <c r="H115" s="18"/>
      <c r="I115" s="18"/>
      <c r="J115" s="18"/>
      <c r="K115" s="18"/>
      <c r="N115" s="3219"/>
      <c r="O115" s="3220"/>
    </row>
    <row r="116" spans="1:15" ht="13.15" customHeight="1">
      <c r="A116" s="22" t="s">
        <v>1173</v>
      </c>
      <c r="B116" s="3231">
        <f>+K88</f>
        <v>2000</v>
      </c>
      <c r="C116" s="3231">
        <f>+B116</f>
        <v>2000</v>
      </c>
      <c r="D116" s="3231">
        <f>+C116</f>
        <v>2000</v>
      </c>
      <c r="E116" s="3231">
        <f>+D116</f>
        <v>2000</v>
      </c>
      <c r="F116" s="3231">
        <f>+E116</f>
        <v>2000</v>
      </c>
      <c r="G116" s="18"/>
      <c r="H116" s="18"/>
      <c r="I116" s="18"/>
      <c r="J116" s="18"/>
      <c r="K116" s="18"/>
      <c r="N116" s="3219"/>
      <c r="O116" s="3220"/>
    </row>
    <row r="117" spans="1:15" ht="13.15" customHeight="1">
      <c r="A117" s="22" t="s">
        <v>1174</v>
      </c>
      <c r="B117" s="23">
        <f>SUM(B110:B116)</f>
        <v>887.88189501266606</v>
      </c>
      <c r="C117" s="23">
        <f>SUM(C110:C116)</f>
        <v>-3276.2979941491503</v>
      </c>
      <c r="D117" s="23">
        <f>SUM(D110:D116)</f>
        <v>-7647.1516069056888</v>
      </c>
      <c r="E117" s="23">
        <f>SUM(E110:E116)</f>
        <v>-12233.971321503741</v>
      </c>
      <c r="F117" s="24">
        <f>SUM(F110:F116)</f>
        <v>-17044.271330867537</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777</v>
      </c>
      <c r="B123" s="274">
        <f>IF(OR(B108="Choose mgt fee",B108="Choose One!"),"",(B102+B103+B104+B105+B106) / -(B107+B108+B109))</f>
        <v>0.99731472165175261</v>
      </c>
      <c r="C123" s="274">
        <f>IF(OR(C108="Choose mgt fee",C108="Choose One!"),"",(C102+C103+C104+C105+C106) / -(C107+C108+C109))</f>
        <v>0.98763112835540545</v>
      </c>
      <c r="D123" s="274">
        <f>IF(OR(D108="Choose mgt fee",D108="Choose One!"),"",(D102+D103+D104+D105+D106) / -(D107+D108+D109))</f>
        <v>0.97804350057567468</v>
      </c>
      <c r="E123" s="274">
        <f>IF(OR(E108="Choose mgt fee",E108="Choose One!"),"",(E102+E103+E104+E105+E106) / -(E107+E108+E109))</f>
        <v>0.96854767578881407</v>
      </c>
      <c r="F123" s="671">
        <f>IF(OR(F108="Choose mgt fee",F108="Choose One!"),"",(F102+F103+F104+F105+F106) / -(F107+F108+F109))</f>
        <v>0.95914419741278489</v>
      </c>
      <c r="G123" s="18"/>
      <c r="H123" s="18"/>
      <c r="I123" s="18"/>
      <c r="J123" s="18"/>
      <c r="K123" s="18"/>
      <c r="N123" s="3219"/>
      <c r="O123" s="3220"/>
    </row>
    <row r="124" spans="1:15" ht="13.15" customHeight="1">
      <c r="A124" s="435" t="s">
        <v>2633</v>
      </c>
      <c r="B124" s="3232" t="str">
        <f>IF('Part III-Sources of Funds'!$I$37="","",-FV('Part III-Sources of Funds'!$K$37/12,12,B111/12,K96))</f>
        <v/>
      </c>
      <c r="C124" s="3232" t="str">
        <f>IF('Part III-Sources of Funds'!$I$37="","",-FV('Part III-Sources of Funds'!$K$37/12,12,C111/12,B124))</f>
        <v/>
      </c>
      <c r="D124" s="3232" t="str">
        <f>IF('Part III-Sources of Funds'!$I$37="","",-FV('Part III-Sources of Funds'!$K$37/12,12,D111/12,C124))</f>
        <v/>
      </c>
      <c r="E124" s="3232" t="str">
        <f>IF('Part III-Sources of Funds'!$I$37="","",-FV('Part III-Sources of Funds'!$K$37/12,12,E111/12,D124))</f>
        <v/>
      </c>
      <c r="F124" s="3232" t="str">
        <f>IF('Part III-Sources of Funds'!$I$37="","",-FV('Part III-Sources of Funds'!$K$37/12,12,F111/12,E124))</f>
        <v/>
      </c>
      <c r="G124" s="18"/>
      <c r="H124" s="18"/>
      <c r="I124" s="18"/>
      <c r="J124" s="18"/>
      <c r="K124" s="18"/>
      <c r="N124" s="3219"/>
      <c r="O124" s="3220"/>
    </row>
    <row r="125" spans="1:15" ht="13.15" customHeight="1">
      <c r="A125" s="435" t="s">
        <v>2634</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2635</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791</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575</v>
      </c>
      <c r="B129" s="14"/>
      <c r="G129" s="14" t="s">
        <v>1040</v>
      </c>
    </row>
    <row r="130" spans="1:18" ht="12" customHeight="1">
      <c r="B130" s="32"/>
    </row>
    <row r="131" spans="1:18" ht="409.5" customHeight="1">
      <c r="A131" s="3233" t="s">
        <v>4698</v>
      </c>
      <c r="B131" s="3234"/>
      <c r="C131" s="3234"/>
      <c r="D131" s="3234"/>
      <c r="E131" s="3234"/>
      <c r="F131" s="3235"/>
      <c r="G131" s="3236"/>
      <c r="H131" s="3237"/>
      <c r="I131" s="3237"/>
      <c r="J131" s="3237"/>
      <c r="K131" s="3238"/>
      <c r="N131" s="1730" t="s">
        <v>2709</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rHEpgzP4tiCHOnMJ8hLoJUsTmXa3hjsUKeOWDbESaQeYPhIephlxa47xYoBPu0S+5FdkO89ijhuERPUrWE5Xtw==" saltValue="P++AMalHNGKF3kg4GUU8i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47" zoomScaleNormal="100" workbookViewId="0">
      <selection activeCell="A5"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2018-032 Hillcrest Apartments, Dublin, Laurens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943</v>
      </c>
      <c r="P3" s="1928"/>
      <c r="Q3" s="565" t="s">
        <v>1856</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571</v>
      </c>
      <c r="J6" s="1932" t="s">
        <v>3877</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1419</v>
      </c>
      <c r="B8" s="1899"/>
      <c r="C8" s="1899"/>
      <c r="D8" s="1899"/>
      <c r="E8" s="1899"/>
      <c r="F8" s="1899"/>
      <c r="G8" s="1899"/>
      <c r="H8" s="1899"/>
      <c r="I8" s="1899"/>
      <c r="J8" s="1899"/>
      <c r="K8" s="1899"/>
      <c r="L8" s="1899"/>
      <c r="M8" s="1899"/>
      <c r="N8" s="1899"/>
      <c r="O8" s="1899"/>
      <c r="P8" s="1899"/>
      <c r="Q8" s="1900"/>
      <c r="R8" s="1884" t="s">
        <v>2046</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1415</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1416</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1417</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1418</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1420</v>
      </c>
      <c r="B14" s="1902"/>
      <c r="C14" s="1902"/>
      <c r="D14" s="1902"/>
      <c r="E14" s="1902"/>
      <c r="F14" s="1902"/>
      <c r="G14" s="1902"/>
      <c r="H14" s="1902"/>
      <c r="I14" s="1902"/>
      <c r="J14" s="1902"/>
      <c r="K14" s="1902"/>
      <c r="L14" s="1902"/>
      <c r="M14" s="1902"/>
      <c r="N14" s="1902"/>
      <c r="O14" s="1902"/>
      <c r="P14" s="1902"/>
      <c r="Q14" s="1903"/>
    </row>
    <row r="15" spans="1:32" ht="11.25" customHeight="1">
      <c r="A15" s="1901" t="s">
        <v>2033</v>
      </c>
      <c r="B15" s="1902"/>
      <c r="C15" s="1902"/>
      <c r="D15" s="1902"/>
      <c r="E15" s="1902"/>
      <c r="F15" s="1902"/>
      <c r="G15" s="1902"/>
      <c r="H15" s="1902"/>
      <c r="I15" s="1902"/>
      <c r="J15" s="1902"/>
      <c r="K15" s="1902"/>
      <c r="L15" s="1902"/>
      <c r="M15" s="1902"/>
      <c r="N15" s="1902"/>
      <c r="O15" s="1902"/>
      <c r="P15" s="1902"/>
      <c r="Q15" s="1903"/>
      <c r="R15" s="1884" t="s">
        <v>2046</v>
      </c>
      <c r="S15" s="1650"/>
    </row>
    <row r="16" spans="1:32" ht="11.25" customHeight="1">
      <c r="A16" s="1901" t="s">
        <v>2034</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2035</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2036</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2037</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2038</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2039</v>
      </c>
      <c r="B21" s="1902"/>
      <c r="C21" s="1902"/>
      <c r="D21" s="1902"/>
      <c r="E21" s="1902"/>
      <c r="F21" s="1902"/>
      <c r="G21" s="1902"/>
      <c r="H21" s="1902"/>
      <c r="I21" s="1902"/>
      <c r="J21" s="1902"/>
      <c r="K21" s="1902"/>
      <c r="L21" s="1902"/>
      <c r="M21" s="1902"/>
      <c r="N21" s="1902"/>
      <c r="O21" s="1902"/>
      <c r="P21" s="1902"/>
      <c r="Q21" s="1903"/>
    </row>
    <row r="22" spans="1:31" ht="11.25" customHeight="1">
      <c r="A22" s="1901" t="s">
        <v>2040</v>
      </c>
      <c r="B22" s="1902"/>
      <c r="C22" s="1902"/>
      <c r="D22" s="1902"/>
      <c r="E22" s="1902"/>
      <c r="F22" s="1902"/>
      <c r="G22" s="1902"/>
      <c r="H22" s="1902"/>
      <c r="I22" s="1902"/>
      <c r="J22" s="1902"/>
      <c r="K22" s="1902"/>
      <c r="L22" s="1902"/>
      <c r="M22" s="1902"/>
      <c r="N22" s="1902"/>
      <c r="O22" s="1902"/>
      <c r="P22" s="1902"/>
      <c r="Q22" s="1903"/>
      <c r="R22" s="1884" t="s">
        <v>2046</v>
      </c>
      <c r="S22" s="1650"/>
    </row>
    <row r="23" spans="1:31" ht="11.25" customHeight="1">
      <c r="A23" s="1901" t="s">
        <v>2041</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2042</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2043</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2044</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2045</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621</v>
      </c>
      <c r="B29" s="134" t="s">
        <v>2667</v>
      </c>
      <c r="C29" s="135"/>
      <c r="D29" s="89"/>
      <c r="E29" s="89"/>
      <c r="F29" s="89"/>
      <c r="G29" s="89"/>
      <c r="I29" s="1597"/>
      <c r="J29" s="1597"/>
      <c r="K29" s="1597"/>
      <c r="L29" s="1586"/>
      <c r="M29" s="1586"/>
      <c r="O29" s="136" t="s">
        <v>1880</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108.75" customHeight="1">
      <c r="A32" s="3113" t="s">
        <v>4719</v>
      </c>
      <c r="B32" s="3114"/>
      <c r="C32" s="3114"/>
      <c r="D32" s="3114"/>
      <c r="E32" s="3114"/>
      <c r="F32" s="3114"/>
      <c r="G32" s="3114"/>
      <c r="H32" s="3114"/>
      <c r="I32" s="3114"/>
      <c r="J32" s="3114"/>
      <c r="K32" s="3114"/>
      <c r="L32" s="3114"/>
      <c r="M32" s="3114"/>
      <c r="N32" s="3114"/>
      <c r="O32" s="3114"/>
      <c r="P32" s="3114"/>
      <c r="Q32" s="3115"/>
      <c r="R32" s="461" t="s">
        <v>1265</v>
      </c>
      <c r="S32" s="462"/>
      <c r="T32" s="163"/>
      <c r="U32" s="140"/>
      <c r="V32" s="140"/>
      <c r="W32" s="140"/>
      <c r="X32" s="140"/>
      <c r="Y32" s="140"/>
      <c r="Z32" s="140"/>
      <c r="AA32" s="140"/>
      <c r="AB32" s="140"/>
      <c r="AC32" s="140"/>
      <c r="AD32" s="140"/>
      <c r="AE32" s="486"/>
    </row>
    <row r="33" spans="1:295" ht="11.25" customHeight="1">
      <c r="B33" s="141" t="s">
        <v>1879</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1265</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747</v>
      </c>
      <c r="B36" s="4" t="s">
        <v>2728</v>
      </c>
      <c r="C36" s="4"/>
      <c r="D36" s="4"/>
      <c r="E36" s="1588"/>
      <c r="G36" s="652"/>
      <c r="H36" s="652"/>
      <c r="I36" s="652"/>
      <c r="J36" s="43"/>
      <c r="L36" s="653"/>
      <c r="M36" s="653"/>
      <c r="N36" s="653"/>
      <c r="O36" s="136" t="s">
        <v>1880</v>
      </c>
      <c r="P36" s="1911"/>
      <c r="Q36" s="1912"/>
    </row>
    <row r="37" spans="1:295" ht="11.25" customHeight="1">
      <c r="A37" s="1914" t="s">
        <v>3473</v>
      </c>
      <c r="B37" s="1914"/>
      <c r="C37" s="1914"/>
      <c r="D37" s="1914"/>
      <c r="E37" s="1914"/>
      <c r="F37" s="1914"/>
      <c r="G37" s="1915" t="s">
        <v>2732</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2752</v>
      </c>
      <c r="Q38" s="3000"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2731</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572</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88"/>
      <c r="P41" s="1961" t="s">
        <v>3926</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88"/>
      <c r="P42" s="1907" t="str">
        <f>IF('Part I-Project Information'!$F$38="","",VLOOKUP('Part I-Project Information'!$J$39,'DCA Underwriting Assumptions'!$G$155:$N$314,8,FALSE))</f>
        <v>Macon</v>
      </c>
      <c r="Q42" s="1908"/>
      <c r="R42" s="422"/>
      <c r="S42" s="1892" t="s">
        <v>4139</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88"/>
      <c r="P45" s="1942">
        <f>'Part IV-A-Uses of Funds'!$G$132</f>
        <v>3838818</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572</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1946" t="s">
        <v>4138</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2455</v>
      </c>
      <c r="E49" s="903">
        <v>1</v>
      </c>
      <c r="F49" s="904">
        <f>'Part VI-Revenues &amp; Expenses'!$K$106</f>
        <v>12</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12 units = </v>
      </c>
      <c r="I49" s="906">
        <f>F49*G49</f>
        <v>1843128</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12</v>
      </c>
      <c r="G53" s="659"/>
      <c r="H53" s="1199"/>
      <c r="I53" s="1200">
        <f>SUM(I48:I52)</f>
        <v>1843128</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572</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1935" t="s">
        <v>2787</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572</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8</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8 units = </v>
      </c>
      <c r="I63" s="906">
        <f>F63*G63</f>
        <v>1167344</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9013956</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16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16 units = </v>
      </c>
      <c r="I64" s="906">
        <f>F64*G64</f>
        <v>3001744</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12</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12 units = </v>
      </c>
      <c r="I65" s="906">
        <f>F65*G65</f>
        <v>3001740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1959" t="s">
        <v>4299</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36</v>
      </c>
      <c r="G67" s="659"/>
      <c r="H67" s="1199"/>
      <c r="I67" s="1202">
        <f>SUM(I62:I66)</f>
        <v>7170828</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48</v>
      </c>
      <c r="G69" s="346"/>
      <c r="H69" s="1960">
        <f>I46+I53+I60+I67</f>
        <v>9013956</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1879</v>
      </c>
      <c r="L70" s="1586"/>
      <c r="M70" s="1586"/>
      <c r="N70" s="1586"/>
      <c r="O70" s="1586"/>
      <c r="P70" s="1586"/>
      <c r="Q70" s="955"/>
    </row>
    <row r="71" spans="1:295" ht="10.5" customHeight="1">
      <c r="A71" s="3113" t="s">
        <v>4650</v>
      </c>
      <c r="B71" s="3114"/>
      <c r="C71" s="3114"/>
      <c r="D71" s="3114"/>
      <c r="E71" s="3114"/>
      <c r="F71" s="3114"/>
      <c r="G71" s="3114"/>
      <c r="H71" s="3114"/>
      <c r="I71" s="3114"/>
      <c r="J71" s="3115"/>
      <c r="K71" s="1954"/>
      <c r="L71" s="1955"/>
      <c r="M71" s="1955"/>
      <c r="N71" s="1955"/>
      <c r="O71" s="1955"/>
      <c r="P71" s="1955"/>
      <c r="Q71" s="1956"/>
      <c r="R71" s="461" t="s">
        <v>1265</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749</v>
      </c>
      <c r="B73" s="4" t="s">
        <v>1201</v>
      </c>
      <c r="C73" s="4"/>
      <c r="D73" s="4"/>
      <c r="E73" s="1588"/>
      <c r="F73" s="1588"/>
      <c r="G73" s="144" t="s">
        <v>100</v>
      </c>
      <c r="H73" s="1588"/>
      <c r="J73" s="3116" t="str">
        <f>'Part I-Project Information'!$H$78</f>
        <v>Family</v>
      </c>
      <c r="K73" s="3117"/>
      <c r="L73" s="3118"/>
      <c r="O73" s="136" t="s">
        <v>1880</v>
      </c>
      <c r="P73" s="1911"/>
      <c r="Q73" s="1912"/>
    </row>
    <row r="74" spans="1:295" ht="10.5" customHeight="1">
      <c r="B74" s="98" t="s">
        <v>3783</v>
      </c>
      <c r="D74" s="98"/>
      <c r="E74" s="98"/>
      <c r="F74" s="98"/>
      <c r="G74" s="98"/>
      <c r="H74" s="41"/>
      <c r="I74" s="1597"/>
      <c r="J74" s="1597"/>
      <c r="K74" s="141" t="s">
        <v>1879</v>
      </c>
      <c r="L74" s="1586"/>
      <c r="M74" s="1586"/>
      <c r="N74" s="1586"/>
      <c r="O74" s="1586"/>
      <c r="P74" s="1586"/>
      <c r="Q74" s="955"/>
    </row>
    <row r="75" spans="1:295" ht="10.5" customHeight="1">
      <c r="A75" s="3113" t="s">
        <v>4643</v>
      </c>
      <c r="B75" s="3114"/>
      <c r="C75" s="3114"/>
      <c r="D75" s="3114"/>
      <c r="E75" s="3114"/>
      <c r="F75" s="3114"/>
      <c r="G75" s="3114"/>
      <c r="H75" s="3114"/>
      <c r="I75" s="3114"/>
      <c r="J75" s="3115"/>
      <c r="K75" s="1954"/>
      <c r="L75" s="1955"/>
      <c r="M75" s="1955"/>
      <c r="N75" s="1955"/>
      <c r="O75" s="1955"/>
      <c r="P75" s="1955"/>
      <c r="Q75" s="1956"/>
      <c r="R75" s="461" t="s">
        <v>1265</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1804</v>
      </c>
      <c r="B77" s="1583" t="s">
        <v>2668</v>
      </c>
      <c r="C77" s="116"/>
      <c r="D77" s="1588"/>
      <c r="E77" s="1588"/>
      <c r="F77" s="1588"/>
      <c r="G77" s="1588"/>
      <c r="H77" s="1588"/>
      <c r="I77" s="1588"/>
      <c r="J77" s="1588"/>
      <c r="K77" s="1588"/>
      <c r="L77" s="1588"/>
      <c r="M77" s="1588"/>
      <c r="O77" s="136" t="s">
        <v>1880</v>
      </c>
      <c r="P77" s="1911"/>
      <c r="Q77" s="1912"/>
    </row>
    <row r="78" spans="1:295" ht="1.5" customHeight="1"/>
    <row r="79" spans="1:295" ht="10.5" customHeight="1">
      <c r="A79" s="146" t="s">
        <v>1998</v>
      </c>
      <c r="B79" s="405" t="s">
        <v>3771</v>
      </c>
      <c r="D79" s="1003"/>
      <c r="E79" s="1003"/>
      <c r="F79" s="1003"/>
      <c r="G79" s="1003"/>
      <c r="H79" s="1003"/>
      <c r="I79" s="1003"/>
      <c r="K79" s="1003"/>
      <c r="L79" s="1003"/>
      <c r="M79" s="1004" t="s">
        <v>3724</v>
      </c>
      <c r="O79" s="147"/>
      <c r="P79" s="3000" t="s">
        <v>4610</v>
      </c>
    </row>
    <row r="80" spans="1:295" ht="10.5" customHeight="1">
      <c r="A80" s="48" t="s">
        <v>2000</v>
      </c>
      <c r="B80" s="956" t="s">
        <v>3770</v>
      </c>
      <c r="D80" s="956"/>
      <c r="E80" s="956"/>
      <c r="F80" s="956"/>
      <c r="G80" s="956"/>
      <c r="H80" s="956"/>
      <c r="I80" s="956"/>
      <c r="J80" s="956"/>
      <c r="K80" s="956"/>
      <c r="L80" s="956"/>
      <c r="M80" s="956"/>
      <c r="O80" s="956"/>
      <c r="P80" s="956"/>
      <c r="Q80" s="956"/>
    </row>
    <row r="81" spans="1:31" ht="10.9" customHeight="1">
      <c r="A81" s="148"/>
      <c r="B81" s="68" t="s">
        <v>1749</v>
      </c>
      <c r="C81" s="956" t="s">
        <v>3506</v>
      </c>
      <c r="E81" s="1594"/>
      <c r="F81" s="1594"/>
      <c r="G81" s="1594"/>
      <c r="H81" s="34"/>
      <c r="I81" s="37" t="s">
        <v>2722</v>
      </c>
      <c r="J81" s="3119" t="s">
        <v>4699</v>
      </c>
      <c r="K81" s="3120"/>
      <c r="L81" s="3120"/>
      <c r="M81" s="3120"/>
      <c r="N81" s="3120"/>
      <c r="O81" s="3120"/>
      <c r="P81" s="3120"/>
      <c r="Q81" s="3121"/>
    </row>
    <row r="82" spans="1:31" ht="10.9" customHeight="1">
      <c r="A82" s="148"/>
      <c r="B82" s="68" t="s">
        <v>1750</v>
      </c>
      <c r="C82" s="956" t="s">
        <v>3604</v>
      </c>
      <c r="E82" s="1594"/>
      <c r="F82" s="1594"/>
      <c r="G82" s="1594"/>
      <c r="H82" s="34"/>
      <c r="I82" s="37" t="s">
        <v>2722</v>
      </c>
      <c r="J82" s="3122" t="s">
        <v>4626</v>
      </c>
      <c r="K82" s="3123"/>
      <c r="L82" s="3123"/>
      <c r="M82" s="3123"/>
      <c r="N82" s="3123"/>
      <c r="O82" s="3123"/>
      <c r="P82" s="3123"/>
      <c r="Q82" s="3124"/>
    </row>
    <row r="83" spans="1:31" ht="10.9" customHeight="1">
      <c r="A83" s="148"/>
      <c r="B83" s="68" t="s">
        <v>1751</v>
      </c>
      <c r="C83" s="956" t="s">
        <v>3605</v>
      </c>
      <c r="E83" s="1594"/>
      <c r="F83" s="1594"/>
      <c r="G83" s="1594"/>
      <c r="H83" s="34"/>
      <c r="I83" s="37" t="s">
        <v>2722</v>
      </c>
      <c r="J83" s="3122"/>
      <c r="K83" s="3123"/>
      <c r="L83" s="3123"/>
      <c r="M83" s="3123"/>
      <c r="N83" s="3123"/>
      <c r="O83" s="3123"/>
      <c r="P83" s="3123"/>
      <c r="Q83" s="3124"/>
    </row>
    <row r="84" spans="1:31" ht="10.9" customHeight="1">
      <c r="A84" s="148"/>
      <c r="B84" s="484" t="s">
        <v>2380</v>
      </c>
      <c r="C84" s="956" t="s">
        <v>3937</v>
      </c>
      <c r="E84" s="1594"/>
      <c r="I84" s="37" t="s">
        <v>2722</v>
      </c>
      <c r="J84" s="3125"/>
      <c r="K84" s="3126"/>
      <c r="L84" s="3126"/>
      <c r="M84" s="3126"/>
      <c r="N84" s="3126"/>
      <c r="O84" s="3126"/>
      <c r="P84" s="3126"/>
      <c r="Q84" s="3127"/>
    </row>
    <row r="85" spans="1:31" ht="10.9" customHeight="1">
      <c r="A85" s="48" t="s">
        <v>756</v>
      </c>
      <c r="B85" s="41" t="s">
        <v>3590</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756</v>
      </c>
      <c r="L86" s="3128"/>
      <c r="M86" s="3129"/>
      <c r="N86" s="3129"/>
      <c r="O86" s="3129"/>
      <c r="P86" s="3130"/>
      <c r="Q86" s="560"/>
    </row>
    <row r="87" spans="1:31" ht="10.5" customHeight="1">
      <c r="B87" s="98" t="s">
        <v>3783</v>
      </c>
      <c r="D87" s="98"/>
      <c r="E87" s="98"/>
      <c r="F87" s="98"/>
      <c r="G87" s="98"/>
      <c r="H87" s="41"/>
      <c r="I87" s="1597"/>
      <c r="J87" s="1597"/>
      <c r="K87" s="141" t="s">
        <v>1879</v>
      </c>
      <c r="L87" s="1586"/>
      <c r="M87" s="1586"/>
      <c r="N87" s="1586"/>
      <c r="O87" s="1586"/>
      <c r="P87" s="1586"/>
      <c r="Q87" s="955"/>
    </row>
    <row r="88" spans="1:31" ht="10.5" customHeight="1">
      <c r="A88" s="3113" t="s">
        <v>4651</v>
      </c>
      <c r="B88" s="3114"/>
      <c r="C88" s="3114"/>
      <c r="D88" s="3114"/>
      <c r="E88" s="3114"/>
      <c r="F88" s="3114"/>
      <c r="G88" s="3114"/>
      <c r="H88" s="3114"/>
      <c r="I88" s="3114"/>
      <c r="J88" s="3115"/>
      <c r="K88" s="1954"/>
      <c r="L88" s="1955"/>
      <c r="M88" s="1955"/>
      <c r="N88" s="1955"/>
      <c r="O88" s="1955"/>
      <c r="P88" s="1955"/>
      <c r="Q88" s="1956"/>
      <c r="R88" s="461" t="s">
        <v>1265</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1806</v>
      </c>
      <c r="B90" s="1583" t="s">
        <v>2669</v>
      </c>
      <c r="C90" s="1583"/>
      <c r="D90" s="1588"/>
      <c r="E90" s="1588"/>
      <c r="F90" s="1588"/>
      <c r="G90" s="1588"/>
      <c r="H90" s="1588"/>
      <c r="I90" s="1588"/>
      <c r="J90" s="1588"/>
      <c r="K90" s="1588"/>
      <c r="O90" s="136" t="s">
        <v>1880</v>
      </c>
      <c r="P90" s="1911"/>
      <c r="Q90" s="1912"/>
    </row>
    <row r="91" spans="1:31" ht="3" customHeight="1"/>
    <row r="92" spans="1:31" ht="10.5" customHeight="1">
      <c r="A92" s="48" t="s">
        <v>1998</v>
      </c>
      <c r="B92" s="149" t="s">
        <v>2475</v>
      </c>
      <c r="D92" s="138"/>
      <c r="E92" s="138"/>
      <c r="F92" s="138"/>
      <c r="G92" s="138"/>
      <c r="H92" s="138"/>
      <c r="I92" s="43"/>
      <c r="J92" s="43"/>
      <c r="K92" s="43"/>
      <c r="L92" s="484" t="s">
        <v>1998</v>
      </c>
      <c r="M92" s="3131" t="s">
        <v>4605</v>
      </c>
      <c r="N92" s="3132"/>
      <c r="O92" s="3132"/>
      <c r="P92" s="3133"/>
      <c r="Q92" s="561"/>
    </row>
    <row r="93" spans="1:31" ht="10.5" customHeight="1">
      <c r="A93" s="48" t="s">
        <v>2000</v>
      </c>
      <c r="B93" s="53" t="s">
        <v>2051</v>
      </c>
      <c r="D93" s="138"/>
      <c r="E93" s="138"/>
      <c r="F93" s="138"/>
      <c r="L93" s="484" t="s">
        <v>2000</v>
      </c>
      <c r="M93" s="3134" t="s">
        <v>4652</v>
      </c>
      <c r="N93" s="3135"/>
      <c r="O93" s="3135"/>
      <c r="P93" s="3136"/>
      <c r="Q93" s="562"/>
    </row>
    <row r="94" spans="1:31" ht="10.5" customHeight="1">
      <c r="A94" s="48" t="s">
        <v>756</v>
      </c>
      <c r="B94" s="53" t="s">
        <v>2897</v>
      </c>
      <c r="D94" s="138"/>
      <c r="E94" s="138"/>
      <c r="F94" s="138"/>
      <c r="L94" s="484" t="s">
        <v>756</v>
      </c>
      <c r="M94" s="3137">
        <v>0.99</v>
      </c>
      <c r="N94" s="3138"/>
      <c r="O94" s="3138"/>
      <c r="P94" s="3139"/>
      <c r="Q94" s="562"/>
    </row>
    <row r="95" spans="1:31" ht="10.5" customHeight="1">
      <c r="A95" s="48" t="s">
        <v>2130</v>
      </c>
      <c r="B95" s="53" t="s">
        <v>3930</v>
      </c>
      <c r="D95" s="138"/>
      <c r="E95" s="138"/>
      <c r="F95" s="138"/>
      <c r="L95" s="484" t="s">
        <v>3931</v>
      </c>
      <c r="M95" s="3140">
        <v>2.3E-2</v>
      </c>
      <c r="N95" s="1205"/>
      <c r="O95" s="1206" t="s">
        <v>4181</v>
      </c>
      <c r="P95" s="3141" t="s">
        <v>3187</v>
      </c>
      <c r="Q95" s="563"/>
    </row>
    <row r="96" spans="1:31" ht="10.5" customHeight="1">
      <c r="A96" s="146" t="s">
        <v>1747</v>
      </c>
      <c r="B96" s="144" t="s">
        <v>3929</v>
      </c>
      <c r="D96" s="144"/>
      <c r="E96" s="144"/>
      <c r="F96" s="144"/>
      <c r="G96" s="144"/>
      <c r="H96" s="144"/>
      <c r="I96" s="144"/>
      <c r="J96" s="144"/>
      <c r="K96" s="144"/>
      <c r="L96" s="144"/>
      <c r="M96" s="144"/>
      <c r="N96" s="144"/>
      <c r="O96" s="144"/>
      <c r="P96" s="144"/>
      <c r="Q96" s="144"/>
    </row>
    <row r="97" spans="1:31" ht="10.5" customHeight="1">
      <c r="B97" s="48"/>
      <c r="C97" s="53"/>
      <c r="D97" s="1593" t="s">
        <v>2393</v>
      </c>
      <c r="E97" s="956" t="s">
        <v>622</v>
      </c>
      <c r="F97" s="956"/>
      <c r="H97" s="53"/>
      <c r="I97" s="1593" t="s">
        <v>2393</v>
      </c>
      <c r="J97" s="956" t="s">
        <v>622</v>
      </c>
      <c r="K97" s="956"/>
      <c r="M97" s="53"/>
      <c r="N97" s="1593" t="s">
        <v>2393</v>
      </c>
      <c r="O97" s="956" t="s">
        <v>622</v>
      </c>
      <c r="P97" s="956"/>
      <c r="Q97" s="484"/>
    </row>
    <row r="98" spans="1:31" ht="10.5" customHeight="1">
      <c r="C98" s="68" t="s">
        <v>1749</v>
      </c>
      <c r="D98" s="3142" t="s">
        <v>4656</v>
      </c>
      <c r="E98" s="3143" t="s">
        <v>4653</v>
      </c>
      <c r="F98" s="3143"/>
      <c r="G98" s="3143"/>
      <c r="H98" s="68" t="s">
        <v>1751</v>
      </c>
      <c r="I98" s="3142" t="s">
        <v>4658</v>
      </c>
      <c r="J98" s="3143" t="s">
        <v>4655</v>
      </c>
      <c r="K98" s="3143"/>
      <c r="L98" s="3143"/>
      <c r="M98" s="67" t="s">
        <v>1560</v>
      </c>
      <c r="N98" s="3142" t="s">
        <v>4661</v>
      </c>
      <c r="O98" s="3143" t="s">
        <v>4660</v>
      </c>
      <c r="P98" s="3143"/>
      <c r="Q98" s="3143"/>
    </row>
    <row r="99" spans="1:31" ht="10.5" customHeight="1">
      <c r="C99" s="68" t="s">
        <v>1750</v>
      </c>
      <c r="D99" s="3144" t="s">
        <v>4659</v>
      </c>
      <c r="E99" s="3145" t="s">
        <v>4654</v>
      </c>
      <c r="F99" s="3145"/>
      <c r="G99" s="3145"/>
      <c r="H99" s="484" t="s">
        <v>2380</v>
      </c>
      <c r="I99" s="3144" t="s">
        <v>4657</v>
      </c>
      <c r="J99" s="3145" t="s">
        <v>4662</v>
      </c>
      <c r="K99" s="3145"/>
      <c r="L99" s="3145"/>
      <c r="M99" s="67" t="s">
        <v>1561</v>
      </c>
      <c r="N99" s="3144"/>
      <c r="O99" s="3145"/>
      <c r="P99" s="3145"/>
      <c r="Q99" s="3145"/>
    </row>
    <row r="100" spans="1:31" ht="10.5" customHeight="1">
      <c r="A100" s="48" t="s">
        <v>1748</v>
      </c>
      <c r="B100" s="53" t="s">
        <v>0</v>
      </c>
      <c r="D100" s="138"/>
      <c r="E100" s="138"/>
      <c r="F100" s="138"/>
      <c r="G100" s="138"/>
      <c r="H100" s="138"/>
      <c r="I100" s="43"/>
      <c r="J100" s="43"/>
      <c r="K100" s="138"/>
      <c r="L100" s="1594"/>
      <c r="M100" s="1594"/>
      <c r="O100" s="484" t="s">
        <v>1748</v>
      </c>
      <c r="P100" s="2978" t="s">
        <v>3010</v>
      </c>
      <c r="Q100" s="566"/>
    </row>
    <row r="101" spans="1:31" s="28" customFormat="1" ht="11.45" customHeight="1">
      <c r="A101" s="170" t="s">
        <v>1682</v>
      </c>
      <c r="E101" s="120"/>
      <c r="M101" s="400"/>
      <c r="O101" s="391"/>
      <c r="Q101" s="1297" t="s">
        <v>2526</v>
      </c>
      <c r="R101" s="951"/>
      <c r="S101" s="1355"/>
      <c r="T101" s="1169"/>
      <c r="U101" s="1169"/>
      <c r="V101" s="1169"/>
      <c r="W101" s="1169"/>
    </row>
    <row r="102" spans="1:31" s="406" customFormat="1" ht="21.75" customHeight="1">
      <c r="A102" s="146" t="s">
        <v>1961</v>
      </c>
      <c r="B102" s="1962" t="s">
        <v>3639</v>
      </c>
      <c r="C102" s="1962"/>
      <c r="D102" s="1962"/>
      <c r="E102" s="1962"/>
      <c r="F102" s="1962"/>
      <c r="G102" s="1962"/>
      <c r="H102" s="1962"/>
      <c r="I102" s="1962"/>
      <c r="J102" s="1962"/>
      <c r="K102" s="1962"/>
      <c r="L102" s="1962"/>
      <c r="M102" s="1962"/>
      <c r="N102" s="1962"/>
      <c r="O102" s="1962"/>
      <c r="P102" s="166" t="s">
        <v>1961</v>
      </c>
      <c r="Q102" s="1261"/>
      <c r="R102" s="952"/>
    </row>
    <row r="103" spans="1:31" s="406" customFormat="1" ht="21.75" customHeight="1">
      <c r="A103" s="146" t="s">
        <v>3391</v>
      </c>
      <c r="B103" s="1962" t="s">
        <v>2747</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621</v>
      </c>
      <c r="B104" s="221" t="s">
        <v>1683</v>
      </c>
      <c r="L104" s="452"/>
      <c r="N104" s="391"/>
      <c r="P104" s="67" t="s">
        <v>621</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3" t="s">
        <v>4720</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1879</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534</v>
      </c>
      <c r="B110" s="1583" t="s">
        <v>2670</v>
      </c>
      <c r="C110" s="1583"/>
      <c r="D110" s="1588"/>
      <c r="E110" s="1588"/>
      <c r="F110" s="1588"/>
      <c r="G110" s="1588"/>
      <c r="H110" s="1588"/>
      <c r="I110" s="1588"/>
      <c r="J110" s="1588"/>
      <c r="K110" s="1588"/>
      <c r="L110" s="1588"/>
      <c r="M110" s="1588"/>
      <c r="O110" s="136" t="s">
        <v>1880</v>
      </c>
      <c r="P110" s="1911"/>
      <c r="Q110" s="1912"/>
    </row>
    <row r="111" spans="1:31" ht="3" customHeight="1"/>
    <row r="112" spans="1:31" ht="10.5" customHeight="1">
      <c r="A112" s="48" t="s">
        <v>1998</v>
      </c>
      <c r="B112" s="53" t="s">
        <v>497</v>
      </c>
      <c r="C112" s="53"/>
      <c r="E112" s="53"/>
      <c r="F112" s="53"/>
      <c r="G112" s="53"/>
      <c r="H112" s="53"/>
      <c r="I112" s="53"/>
      <c r="J112" s="53"/>
      <c r="K112" s="53"/>
      <c r="L112" s="53"/>
      <c r="M112" s="53"/>
      <c r="O112" s="484" t="s">
        <v>1998</v>
      </c>
      <c r="P112" s="2929" t="s">
        <v>3010</v>
      </c>
      <c r="Q112" s="561"/>
    </row>
    <row r="113" spans="1:32" ht="10.5" customHeight="1">
      <c r="A113" s="48" t="s">
        <v>2000</v>
      </c>
      <c r="B113" s="53" t="s">
        <v>1315</v>
      </c>
      <c r="C113" s="53"/>
      <c r="E113" s="53"/>
      <c r="F113" s="53"/>
      <c r="G113" s="53"/>
      <c r="H113" s="53"/>
      <c r="I113" s="53"/>
      <c r="J113" s="53"/>
      <c r="K113" s="53"/>
      <c r="L113" s="956"/>
      <c r="M113" s="956"/>
      <c r="O113" s="484" t="s">
        <v>2000</v>
      </c>
      <c r="P113" s="2928" t="s">
        <v>3010</v>
      </c>
      <c r="Q113" s="562"/>
    </row>
    <row r="114" spans="1:32" ht="10.5" customHeight="1">
      <c r="A114" s="37"/>
      <c r="C114" s="40" t="s">
        <v>558</v>
      </c>
      <c r="E114" s="43"/>
      <c r="F114" s="43"/>
      <c r="G114" s="43"/>
      <c r="H114" s="43"/>
      <c r="I114" s="43"/>
      <c r="L114" s="68" t="s">
        <v>559</v>
      </c>
      <c r="M114" s="3128" t="s">
        <v>4644</v>
      </c>
      <c r="N114" s="3129"/>
      <c r="O114" s="3129"/>
      <c r="P114" s="3146"/>
      <c r="Q114" s="562"/>
    </row>
    <row r="115" spans="1:32" ht="10.5" customHeight="1">
      <c r="A115" s="1597"/>
      <c r="B115" s="154" t="s">
        <v>1749</v>
      </c>
      <c r="C115" s="956" t="s">
        <v>3493</v>
      </c>
      <c r="D115" s="1100"/>
      <c r="E115" s="1100"/>
      <c r="F115" s="1100"/>
      <c r="G115" s="1100"/>
      <c r="H115" s="1100"/>
      <c r="I115" s="1100"/>
      <c r="J115" s="1100"/>
      <c r="K115" s="1100"/>
      <c r="L115" s="1100"/>
      <c r="M115" s="1100"/>
      <c r="O115" s="154" t="s">
        <v>1749</v>
      </c>
      <c r="P115" s="2929" t="s">
        <v>3010</v>
      </c>
      <c r="Q115" s="562"/>
    </row>
    <row r="116" spans="1:32" ht="10.5" customHeight="1">
      <c r="A116" s="1597"/>
      <c r="B116" s="68" t="s">
        <v>1750</v>
      </c>
      <c r="C116" s="956" t="s">
        <v>3494</v>
      </c>
      <c r="D116" s="1100"/>
      <c r="E116" s="1100"/>
      <c r="F116" s="1100"/>
      <c r="G116" s="1100"/>
      <c r="H116" s="1100"/>
      <c r="I116" s="1100"/>
      <c r="J116" s="1100"/>
      <c r="K116" s="1100"/>
      <c r="L116" s="1100"/>
      <c r="M116" s="1100"/>
      <c r="O116" s="68" t="s">
        <v>1750</v>
      </c>
      <c r="P116" s="2935" t="s">
        <v>3010</v>
      </c>
      <c r="Q116" s="562"/>
    </row>
    <row r="117" spans="1:32" ht="10.5" customHeight="1">
      <c r="A117" s="1597"/>
      <c r="B117" s="154" t="s">
        <v>1751</v>
      </c>
      <c r="C117" s="956" t="s">
        <v>2898</v>
      </c>
      <c r="D117" s="956"/>
      <c r="E117" s="956"/>
      <c r="F117" s="956"/>
      <c r="G117" s="956"/>
      <c r="H117" s="956"/>
      <c r="I117" s="956"/>
      <c r="J117" s="956"/>
      <c r="K117" s="956"/>
      <c r="L117" s="956"/>
      <c r="M117" s="1283"/>
      <c r="O117" s="154" t="s">
        <v>1751</v>
      </c>
      <c r="P117" s="2935" t="s">
        <v>3010</v>
      </c>
      <c r="Q117" s="562"/>
    </row>
    <row r="118" spans="1:32" s="137" customFormat="1" ht="24.75" customHeight="1">
      <c r="A118" s="449"/>
      <c r="B118" s="166" t="s">
        <v>2380</v>
      </c>
      <c r="C118" s="1963" t="s">
        <v>2705</v>
      </c>
      <c r="D118" s="1963"/>
      <c r="E118" s="1963"/>
      <c r="F118" s="1963"/>
      <c r="G118" s="1963"/>
      <c r="H118" s="1963"/>
      <c r="I118" s="1963"/>
      <c r="J118" s="1963"/>
      <c r="K118" s="1963"/>
      <c r="L118" s="1963"/>
      <c r="M118" s="1963"/>
      <c r="N118" s="1963"/>
      <c r="O118" s="166" t="s">
        <v>2380</v>
      </c>
      <c r="P118" s="3147"/>
      <c r="Q118" s="564"/>
      <c r="AE118" s="487"/>
      <c r="AF118" s="487"/>
    </row>
    <row r="119" spans="1:32" ht="10.5" customHeight="1">
      <c r="A119" s="48" t="s">
        <v>756</v>
      </c>
      <c r="B119" s="53" t="s">
        <v>147</v>
      </c>
      <c r="D119" s="53"/>
      <c r="E119" s="53"/>
      <c r="F119" s="53"/>
      <c r="G119" s="53"/>
      <c r="H119" s="53"/>
      <c r="I119" s="53"/>
      <c r="J119" s="53"/>
      <c r="K119" s="53"/>
      <c r="L119" s="53"/>
      <c r="M119" s="53"/>
      <c r="O119" s="484" t="s">
        <v>756</v>
      </c>
      <c r="P119" s="2928" t="s">
        <v>3013</v>
      </c>
      <c r="Q119" s="563"/>
    </row>
    <row r="120" spans="1:32" ht="10.5" customHeight="1">
      <c r="A120" s="48" t="s">
        <v>2130</v>
      </c>
      <c r="B120" s="53" t="s">
        <v>1439</v>
      </c>
      <c r="D120" s="53"/>
      <c r="E120" s="53"/>
      <c r="G120" s="53"/>
      <c r="I120" s="53"/>
      <c r="K120" s="53"/>
      <c r="L120" s="956"/>
      <c r="M120" s="956"/>
      <c r="N120" s="956"/>
      <c r="O120" s="484" t="s">
        <v>2130</v>
      </c>
      <c r="P120" s="956"/>
      <c r="Q120" s="956"/>
    </row>
    <row r="121" spans="1:32" ht="10.5" customHeight="1">
      <c r="B121" s="68" t="s">
        <v>1749</v>
      </c>
      <c r="C121" s="53" t="s">
        <v>1440</v>
      </c>
      <c r="E121" s="53"/>
      <c r="F121" s="53"/>
      <c r="G121" s="53"/>
      <c r="H121" s="53"/>
      <c r="I121" s="53"/>
      <c r="J121" s="53"/>
      <c r="K121" s="53"/>
      <c r="L121" s="956"/>
      <c r="M121" s="956"/>
      <c r="O121" s="68" t="s">
        <v>1749</v>
      </c>
      <c r="P121" s="2929" t="s">
        <v>3013</v>
      </c>
      <c r="Q121" s="561"/>
    </row>
    <row r="122" spans="1:32" ht="10.5" customHeight="1">
      <c r="B122" s="68" t="s">
        <v>1750</v>
      </c>
      <c r="C122" s="53" t="s">
        <v>1441</v>
      </c>
      <c r="E122" s="53"/>
      <c r="F122" s="53"/>
      <c r="G122" s="53"/>
      <c r="H122" s="53"/>
      <c r="I122" s="53"/>
      <c r="J122" s="53"/>
      <c r="K122" s="53"/>
      <c r="L122" s="956"/>
      <c r="M122" s="956"/>
      <c r="O122" s="68" t="s">
        <v>1750</v>
      </c>
      <c r="P122" s="2935" t="s">
        <v>3013</v>
      </c>
      <c r="Q122" s="562"/>
    </row>
    <row r="123" spans="1:32" ht="10.5" customHeight="1">
      <c r="B123" s="68" t="s">
        <v>1751</v>
      </c>
      <c r="C123" s="53" t="s">
        <v>1442</v>
      </c>
      <c r="E123" s="53"/>
      <c r="F123" s="53"/>
      <c r="G123" s="53"/>
      <c r="H123" s="53"/>
      <c r="I123" s="53"/>
      <c r="J123" s="53"/>
      <c r="K123" s="53"/>
      <c r="L123" s="956"/>
      <c r="M123" s="956"/>
      <c r="O123" s="68" t="s">
        <v>1751</v>
      </c>
      <c r="P123" s="2928" t="s">
        <v>3013</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22.5" customHeight="1">
      <c r="A125" s="3113" t="s">
        <v>4700</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1879</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779</v>
      </c>
      <c r="B128" s="1583" t="s">
        <v>2671</v>
      </c>
      <c r="C128" s="41"/>
      <c r="D128" s="1588"/>
      <c r="E128" s="1588"/>
      <c r="F128" s="1588"/>
      <c r="G128" s="1588"/>
      <c r="H128" s="1588"/>
      <c r="I128" s="1588"/>
      <c r="J128" s="1588"/>
      <c r="K128" s="1588"/>
      <c r="L128" s="1588"/>
      <c r="M128" s="1588"/>
      <c r="O128" s="136" t="s">
        <v>1880</v>
      </c>
      <c r="P128" s="1911"/>
      <c r="Q128" s="1912"/>
    </row>
    <row r="129" spans="1:17" ht="6.6" customHeight="1"/>
    <row r="130" spans="1:17" ht="12" customHeight="1">
      <c r="A130" s="48" t="s">
        <v>1998</v>
      </c>
      <c r="B130" s="53" t="s">
        <v>3663</v>
      </c>
      <c r="D130" s="138"/>
      <c r="E130" s="138"/>
      <c r="F130" s="138"/>
      <c r="G130" s="138"/>
      <c r="H130" s="138"/>
      <c r="I130" s="43"/>
      <c r="J130" s="43"/>
      <c r="K130" s="484" t="s">
        <v>1998</v>
      </c>
      <c r="L130" s="3148" t="s">
        <v>4606</v>
      </c>
      <c r="M130" s="3148"/>
      <c r="N130" s="3148"/>
      <c r="O130" s="3148"/>
      <c r="P130" s="3148"/>
      <c r="Q130" s="560"/>
    </row>
    <row r="131" spans="1:17" ht="12" customHeight="1">
      <c r="A131" s="48" t="s">
        <v>2000</v>
      </c>
      <c r="B131" s="53" t="s">
        <v>1549</v>
      </c>
      <c r="D131" s="138"/>
      <c r="E131" s="138"/>
      <c r="F131" s="138"/>
      <c r="G131" s="138"/>
      <c r="H131" s="138"/>
      <c r="I131" s="43"/>
      <c r="J131" s="43"/>
      <c r="K131" s="138"/>
      <c r="L131" s="1594"/>
      <c r="O131" s="484" t="s">
        <v>2000</v>
      </c>
      <c r="P131" s="2980" t="s">
        <v>3013</v>
      </c>
      <c r="Q131" s="1005"/>
    </row>
    <row r="132" spans="1:17" ht="12" customHeight="1">
      <c r="A132" s="48" t="s">
        <v>756</v>
      </c>
      <c r="B132" s="53" t="s">
        <v>152</v>
      </c>
      <c r="D132" s="138"/>
      <c r="E132" s="138"/>
      <c r="F132" s="138"/>
      <c r="G132" s="138"/>
      <c r="H132" s="138"/>
      <c r="I132" s="43"/>
      <c r="J132" s="43"/>
      <c r="K132" s="1594"/>
      <c r="L132" s="1594"/>
      <c r="O132" s="484" t="s">
        <v>756</v>
      </c>
      <c r="P132" s="2928" t="s">
        <v>3010</v>
      </c>
      <c r="Q132" s="962"/>
    </row>
    <row r="133" spans="1:17" ht="12" customHeight="1">
      <c r="A133" s="48"/>
      <c r="B133" s="67" t="s">
        <v>1749</v>
      </c>
      <c r="C133" s="53" t="s">
        <v>2704</v>
      </c>
      <c r="E133" s="138"/>
      <c r="F133" s="138"/>
      <c r="G133" s="138"/>
      <c r="H133" s="138"/>
      <c r="I133" s="43"/>
      <c r="J133" s="43"/>
      <c r="K133" s="68" t="s">
        <v>1749</v>
      </c>
      <c r="L133" s="3148" t="s">
        <v>4606</v>
      </c>
      <c r="M133" s="3148"/>
      <c r="N133" s="3148"/>
      <c r="O133" s="3148"/>
      <c r="P133" s="3148"/>
      <c r="Q133" s="560"/>
    </row>
    <row r="134" spans="1:17" ht="12" customHeight="1">
      <c r="A134" s="143"/>
      <c r="B134" s="68" t="s">
        <v>1750</v>
      </c>
      <c r="C134" s="37" t="s">
        <v>3495</v>
      </c>
      <c r="E134" s="43"/>
      <c r="F134" s="43"/>
      <c r="G134" s="43"/>
      <c r="H134" s="53"/>
      <c r="I134" s="43"/>
      <c r="J134" s="43"/>
      <c r="K134" s="138"/>
      <c r="L134" s="1594"/>
      <c r="M134" s="1594"/>
      <c r="O134" s="484" t="s">
        <v>1750</v>
      </c>
      <c r="P134" s="2978" t="s">
        <v>4607</v>
      </c>
      <c r="Q134" s="566"/>
    </row>
    <row r="135" spans="1:17" ht="12" customHeight="1">
      <c r="A135" s="143"/>
      <c r="B135" s="484" t="s">
        <v>1751</v>
      </c>
      <c r="C135" s="53" t="s">
        <v>4168</v>
      </c>
      <c r="E135" s="43"/>
      <c r="F135" s="43"/>
      <c r="G135" s="43"/>
      <c r="H135" s="53"/>
      <c r="I135" s="43"/>
      <c r="J135" s="43"/>
      <c r="K135" s="138"/>
      <c r="L135" s="1594"/>
      <c r="M135" s="1594"/>
      <c r="N135" s="1594"/>
      <c r="O135" s="1594"/>
    </row>
    <row r="136" spans="1:17" ht="11.45" customHeight="1">
      <c r="A136" s="1586"/>
      <c r="B136" s="68"/>
      <c r="C136" s="3149" t="s">
        <v>4663</v>
      </c>
      <c r="D136" s="3149"/>
      <c r="E136" s="3149"/>
      <c r="F136" s="3149"/>
      <c r="G136" s="3149"/>
      <c r="H136" s="3149"/>
      <c r="I136" s="3149"/>
      <c r="J136" s="3149"/>
      <c r="K136" s="3149"/>
      <c r="L136" s="3149"/>
      <c r="M136" s="3149"/>
      <c r="N136" s="3149"/>
      <c r="O136" s="3149"/>
      <c r="P136" s="3149"/>
      <c r="Q136" s="3149"/>
    </row>
    <row r="137" spans="1:17" ht="12" customHeight="1">
      <c r="A137" s="48" t="s">
        <v>2130</v>
      </c>
      <c r="B137" s="53" t="s">
        <v>1271</v>
      </c>
      <c r="D137" s="138"/>
      <c r="E137" s="138"/>
      <c r="F137" s="138"/>
      <c r="G137" s="138"/>
      <c r="H137" s="138"/>
      <c r="I137" s="43"/>
      <c r="J137" s="43"/>
      <c r="K137" s="138"/>
      <c r="L137" s="1594"/>
      <c r="M137" s="1594"/>
      <c r="N137" s="1594"/>
      <c r="O137" s="484" t="s">
        <v>2130</v>
      </c>
    </row>
    <row r="138" spans="1:17" ht="12" customHeight="1">
      <c r="A138" s="48"/>
      <c r="B138" s="68" t="s">
        <v>1749</v>
      </c>
      <c r="C138" s="53" t="s">
        <v>150</v>
      </c>
      <c r="E138" s="138"/>
      <c r="F138" s="138"/>
      <c r="G138" s="138"/>
      <c r="H138" s="138"/>
      <c r="I138" s="43"/>
      <c r="J138" s="43"/>
      <c r="K138" s="138"/>
      <c r="L138" s="1594"/>
      <c r="M138" s="1594"/>
      <c r="O138" s="68" t="s">
        <v>1749</v>
      </c>
      <c r="P138" s="2929" t="s">
        <v>3013</v>
      </c>
      <c r="Q138" s="561"/>
    </row>
    <row r="139" spans="1:17" ht="12" customHeight="1">
      <c r="A139" s="48"/>
      <c r="B139" s="68" t="s">
        <v>1750</v>
      </c>
      <c r="C139" s="53" t="s">
        <v>1272</v>
      </c>
      <c r="E139" s="138"/>
      <c r="F139" s="138"/>
      <c r="G139" s="138"/>
      <c r="H139" s="43"/>
      <c r="I139" s="43"/>
      <c r="J139" s="43"/>
      <c r="K139" s="138"/>
      <c r="L139" s="1594"/>
      <c r="M139" s="1594"/>
      <c r="O139" s="68" t="s">
        <v>1750</v>
      </c>
      <c r="P139" s="2935" t="s">
        <v>3013</v>
      </c>
      <c r="Q139" s="562"/>
    </row>
    <row r="140" spans="1:17" ht="12" customHeight="1">
      <c r="A140" s="48"/>
      <c r="B140" s="68"/>
      <c r="C140" s="53" t="s">
        <v>2648</v>
      </c>
      <c r="E140" s="484" t="s">
        <v>2450</v>
      </c>
      <c r="F140" s="53" t="s">
        <v>2649</v>
      </c>
      <c r="G140" s="43"/>
      <c r="H140" s="53"/>
      <c r="I140" s="43"/>
      <c r="J140" s="43"/>
      <c r="K140" s="138"/>
      <c r="L140" s="1594"/>
      <c r="M140" s="1594"/>
      <c r="O140" s="484" t="s">
        <v>2450</v>
      </c>
      <c r="P140" s="3150"/>
      <c r="Q140" s="909"/>
    </row>
    <row r="141" spans="1:17" ht="12" customHeight="1">
      <c r="A141" s="48"/>
      <c r="B141" s="68"/>
      <c r="E141" s="484" t="s">
        <v>2451</v>
      </c>
      <c r="F141" s="53" t="s">
        <v>2650</v>
      </c>
      <c r="G141" s="43"/>
      <c r="H141" s="53"/>
      <c r="I141" s="43"/>
      <c r="J141" s="43"/>
      <c r="K141" s="138"/>
      <c r="L141" s="1594"/>
      <c r="M141" s="1594"/>
      <c r="O141" s="484" t="s">
        <v>2451</v>
      </c>
      <c r="P141" s="2935"/>
      <c r="Q141" s="562"/>
    </row>
    <row r="142" spans="1:17" ht="12" customHeight="1">
      <c r="A142" s="48"/>
      <c r="B142" s="68"/>
      <c r="E142" s="484" t="s">
        <v>2452</v>
      </c>
      <c r="F142" s="53" t="s">
        <v>2651</v>
      </c>
      <c r="G142" s="43"/>
      <c r="H142" s="53"/>
      <c r="I142" s="43"/>
      <c r="J142" s="43"/>
      <c r="K142" s="138"/>
      <c r="L142" s="1594"/>
      <c r="M142" s="1594"/>
      <c r="O142" s="484" t="s">
        <v>2452</v>
      </c>
      <c r="P142" s="2935"/>
      <c r="Q142" s="562"/>
    </row>
    <row r="143" spans="1:17" ht="12" customHeight="1">
      <c r="A143" s="48"/>
      <c r="B143" s="68" t="s">
        <v>1751</v>
      </c>
      <c r="C143" s="53" t="s">
        <v>1273</v>
      </c>
      <c r="E143" s="138"/>
      <c r="F143" s="138"/>
      <c r="G143" s="138"/>
      <c r="H143" s="53"/>
      <c r="I143" s="43"/>
      <c r="J143" s="43"/>
      <c r="K143" s="138"/>
      <c r="L143" s="1594"/>
      <c r="M143" s="1594"/>
      <c r="O143" s="68" t="s">
        <v>1751</v>
      </c>
      <c r="P143" s="2935" t="s">
        <v>3013</v>
      </c>
      <c r="Q143" s="562"/>
    </row>
    <row r="144" spans="1:17" ht="12" customHeight="1">
      <c r="A144" s="48"/>
      <c r="B144" s="68"/>
      <c r="C144" s="53" t="s">
        <v>2648</v>
      </c>
      <c r="E144" s="484" t="s">
        <v>2450</v>
      </c>
      <c r="F144" s="53" t="s">
        <v>2652</v>
      </c>
      <c r="G144" s="43"/>
      <c r="H144" s="53"/>
      <c r="I144" s="43"/>
      <c r="J144" s="43"/>
      <c r="K144" s="138"/>
      <c r="L144" s="1594"/>
      <c r="O144" s="484" t="s">
        <v>2450</v>
      </c>
      <c r="P144" s="3150">
        <v>0</v>
      </c>
      <c r="Q144" s="909"/>
    </row>
    <row r="145" spans="1:18" ht="12" customHeight="1">
      <c r="A145" s="48"/>
      <c r="B145" s="68"/>
      <c r="E145" s="484" t="s">
        <v>2451</v>
      </c>
      <c r="F145" s="53" t="s">
        <v>2653</v>
      </c>
      <c r="G145" s="43"/>
      <c r="H145" s="53"/>
      <c r="I145" s="43"/>
      <c r="J145" s="43"/>
      <c r="O145" s="484" t="s">
        <v>2451</v>
      </c>
      <c r="P145" s="2935" t="s">
        <v>3013</v>
      </c>
      <c r="Q145" s="562"/>
    </row>
    <row r="146" spans="1:18" ht="12" customHeight="1">
      <c r="A146" s="48"/>
      <c r="B146" s="68"/>
      <c r="E146" s="484" t="s">
        <v>2452</v>
      </c>
      <c r="F146" s="53" t="s">
        <v>2651</v>
      </c>
      <c r="G146" s="43"/>
      <c r="H146" s="53"/>
      <c r="I146" s="43"/>
      <c r="J146" s="43"/>
      <c r="O146" s="484" t="s">
        <v>2452</v>
      </c>
      <c r="P146" s="2935" t="s">
        <v>3010</v>
      </c>
      <c r="Q146" s="562"/>
    </row>
    <row r="147" spans="1:18" ht="12" customHeight="1">
      <c r="A147" s="37"/>
      <c r="B147" s="68" t="s">
        <v>2380</v>
      </c>
      <c r="C147" s="53" t="s">
        <v>2654</v>
      </c>
      <c r="E147" s="138"/>
      <c r="F147" s="138"/>
      <c r="G147" s="138"/>
      <c r="H147" s="138"/>
      <c r="I147" s="43"/>
      <c r="J147" s="43"/>
      <c r="O147" s="68" t="s">
        <v>2380</v>
      </c>
      <c r="P147" s="2928" t="s">
        <v>3013</v>
      </c>
      <c r="Q147" s="563"/>
    </row>
    <row r="148" spans="1:18" ht="12" customHeight="1">
      <c r="A148" s="48" t="s">
        <v>1747</v>
      </c>
      <c r="B148" s="150" t="s">
        <v>2429</v>
      </c>
      <c r="D148" s="138"/>
      <c r="E148" s="138"/>
      <c r="F148" s="138"/>
      <c r="G148" s="138"/>
      <c r="H148" s="138"/>
      <c r="I148" s="43"/>
      <c r="J148" s="43"/>
      <c r="K148" s="138"/>
      <c r="L148" s="1594"/>
      <c r="M148" s="1594"/>
      <c r="N148" s="1594"/>
      <c r="O148" s="1594"/>
      <c r="P148" s="1594"/>
      <c r="Q148" s="1594"/>
    </row>
    <row r="149" spans="1:18" ht="12" customHeight="1">
      <c r="B149" s="68" t="s">
        <v>1749</v>
      </c>
      <c r="C149" s="53" t="s">
        <v>2510</v>
      </c>
      <c r="E149" s="138"/>
      <c r="F149" s="2929" t="s">
        <v>3013</v>
      </c>
      <c r="G149" s="561"/>
      <c r="H149" s="68" t="s">
        <v>1560</v>
      </c>
      <c r="I149" s="56" t="s">
        <v>2656</v>
      </c>
      <c r="L149" s="2929" t="s">
        <v>3013</v>
      </c>
      <c r="M149" s="561"/>
      <c r="N149" s="484" t="s">
        <v>516</v>
      </c>
      <c r="O149" s="53" t="s">
        <v>1563</v>
      </c>
      <c r="P149" s="2929" t="s">
        <v>3013</v>
      </c>
      <c r="Q149" s="561"/>
    </row>
    <row r="150" spans="1:18" ht="12" customHeight="1">
      <c r="A150" s="37"/>
      <c r="B150" s="68" t="s">
        <v>1750</v>
      </c>
      <c r="C150" s="53" t="s">
        <v>2820</v>
      </c>
      <c r="E150" s="138"/>
      <c r="F150" s="2935" t="s">
        <v>3013</v>
      </c>
      <c r="G150" s="562"/>
      <c r="H150" s="68" t="s">
        <v>1561</v>
      </c>
      <c r="I150" s="56" t="s">
        <v>2657</v>
      </c>
      <c r="L150" s="2935" t="s">
        <v>3013</v>
      </c>
      <c r="M150" s="562"/>
      <c r="N150" s="484" t="s">
        <v>517</v>
      </c>
      <c r="O150" s="53" t="s">
        <v>1562</v>
      </c>
      <c r="P150" s="2935" t="s">
        <v>3013</v>
      </c>
      <c r="Q150" s="562"/>
    </row>
    <row r="151" spans="1:18" ht="12" customHeight="1">
      <c r="A151" s="37"/>
      <c r="B151" s="68" t="s">
        <v>1751</v>
      </c>
      <c r="C151" s="53" t="s">
        <v>2655</v>
      </c>
      <c r="E151" s="138"/>
      <c r="F151" s="2935" t="s">
        <v>3013</v>
      </c>
      <c r="G151" s="562"/>
      <c r="H151" s="484" t="s">
        <v>99</v>
      </c>
      <c r="I151" s="56" t="s">
        <v>3878</v>
      </c>
      <c r="L151" s="2935" t="s">
        <v>3013</v>
      </c>
      <c r="M151" s="562"/>
      <c r="N151" s="484" t="s">
        <v>2822</v>
      </c>
      <c r="O151" s="53" t="s">
        <v>1564</v>
      </c>
      <c r="P151" s="2928" t="s">
        <v>3010</v>
      </c>
      <c r="Q151" s="563"/>
    </row>
    <row r="152" spans="1:18" ht="12" customHeight="1">
      <c r="A152" s="37"/>
      <c r="B152" s="68" t="s">
        <v>2380</v>
      </c>
      <c r="C152" s="53" t="s">
        <v>2823</v>
      </c>
      <c r="E152" s="138"/>
      <c r="F152" s="2928" t="s">
        <v>3013</v>
      </c>
      <c r="G152" s="563"/>
      <c r="H152" s="484" t="s">
        <v>515</v>
      </c>
      <c r="I152" s="53" t="s">
        <v>2819</v>
      </c>
      <c r="L152" s="2928" t="s">
        <v>3013</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3149" t="s">
        <v>4701</v>
      </c>
      <c r="D154" s="3149"/>
      <c r="E154" s="3149"/>
      <c r="F154" s="3149"/>
      <c r="G154" s="3149"/>
      <c r="H154" s="3149"/>
      <c r="I154" s="3149"/>
      <c r="J154" s="3149"/>
      <c r="K154" s="3149"/>
      <c r="L154" s="3149"/>
      <c r="M154" s="3149"/>
      <c r="N154" s="3149"/>
      <c r="O154" s="3149"/>
      <c r="P154" s="3149"/>
      <c r="Q154" s="3149"/>
    </row>
    <row r="155" spans="1:18" ht="12" customHeight="1">
      <c r="A155" s="48" t="s">
        <v>1748</v>
      </c>
      <c r="B155" s="53" t="s">
        <v>3593</v>
      </c>
      <c r="D155" s="138"/>
      <c r="E155" s="138"/>
      <c r="F155" s="138"/>
      <c r="G155" s="138"/>
      <c r="H155" s="138"/>
      <c r="I155" s="43"/>
      <c r="J155" s="43"/>
      <c r="K155" s="138"/>
      <c r="L155" s="138"/>
      <c r="M155" s="1594"/>
    </row>
    <row r="156" spans="1:18" ht="12" customHeight="1">
      <c r="A156" s="43"/>
      <c r="B156" s="68" t="s">
        <v>1749</v>
      </c>
      <c r="C156" s="53" t="s">
        <v>2824</v>
      </c>
      <c r="E156" s="138"/>
      <c r="F156" s="138"/>
      <c r="G156" s="138"/>
      <c r="H156" s="138"/>
      <c r="O156" s="68" t="s">
        <v>1749</v>
      </c>
      <c r="P156" s="2929" t="s">
        <v>3013</v>
      </c>
      <c r="Q156" s="561"/>
    </row>
    <row r="157" spans="1:18" ht="12" customHeight="1">
      <c r="A157" s="1597"/>
      <c r="B157" s="68" t="s">
        <v>1750</v>
      </c>
      <c r="C157" s="53" t="s">
        <v>494</v>
      </c>
      <c r="E157" s="53"/>
      <c r="F157" s="53"/>
      <c r="G157" s="53"/>
      <c r="H157" s="53"/>
      <c r="I157" s="43"/>
      <c r="J157" s="43"/>
      <c r="K157" s="53"/>
      <c r="L157" s="53"/>
      <c r="M157" s="53"/>
      <c r="O157" s="68" t="s">
        <v>1750</v>
      </c>
      <c r="P157" s="2935" t="s">
        <v>3013</v>
      </c>
      <c r="Q157" s="562"/>
    </row>
    <row r="158" spans="1:18" ht="12" customHeight="1">
      <c r="A158" s="1597"/>
      <c r="B158" s="68" t="s">
        <v>1751</v>
      </c>
      <c r="C158" s="53" t="s">
        <v>686</v>
      </c>
      <c r="E158" s="53"/>
      <c r="F158" s="53"/>
      <c r="G158" s="53"/>
      <c r="H158" s="53"/>
      <c r="I158" s="43"/>
      <c r="J158" s="43"/>
      <c r="K158" s="53"/>
      <c r="L158" s="53"/>
      <c r="M158" s="53"/>
      <c r="O158" s="68" t="s">
        <v>1751</v>
      </c>
      <c r="P158" s="2935" t="s">
        <v>3013</v>
      </c>
      <c r="Q158" s="562"/>
    </row>
    <row r="159" spans="1:18" ht="12" customHeight="1">
      <c r="A159" s="48" t="s">
        <v>1961</v>
      </c>
      <c r="B159" s="53" t="s">
        <v>1765</v>
      </c>
      <c r="D159" s="138"/>
      <c r="E159" s="138"/>
      <c r="F159" s="138"/>
      <c r="G159" s="138"/>
      <c r="H159" s="138"/>
      <c r="I159" s="43"/>
      <c r="J159" s="43"/>
      <c r="K159" s="138"/>
      <c r="L159" s="138"/>
      <c r="M159" s="1594"/>
      <c r="O159" s="484" t="s">
        <v>1961</v>
      </c>
      <c r="P159" s="2928" t="s">
        <v>978</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51"/>
      <c r="O161" s="3152"/>
      <c r="P161" s="1964" t="s">
        <v>1783</v>
      </c>
      <c r="Q161" s="1965"/>
      <c r="AE161" s="5"/>
      <c r="AF161" s="5"/>
    </row>
    <row r="162" spans="1:32" s="1" customFormat="1" ht="12" customHeight="1">
      <c r="A162" s="48" t="s">
        <v>621</v>
      </c>
      <c r="B162" s="118" t="s">
        <v>1</v>
      </c>
      <c r="D162" s="1240"/>
      <c r="E162" s="1240"/>
      <c r="G162" s="484" t="s">
        <v>621</v>
      </c>
      <c r="H162" s="3153"/>
      <c r="I162" s="3154"/>
      <c r="J162" s="3154"/>
      <c r="K162" s="3154"/>
      <c r="L162" s="3154"/>
      <c r="M162" s="3154"/>
      <c r="N162" s="3154"/>
      <c r="O162" s="3154"/>
      <c r="P162" s="3155"/>
      <c r="Q162" s="559"/>
      <c r="AE162" s="5"/>
      <c r="AF162" s="5"/>
    </row>
    <row r="163" spans="1:32" s="1" customFormat="1" ht="12" customHeight="1">
      <c r="A163" s="48" t="s">
        <v>3392</v>
      </c>
      <c r="B163" s="956" t="s">
        <v>1426</v>
      </c>
      <c r="D163" s="11"/>
      <c r="E163" s="11"/>
      <c r="F163" s="11"/>
      <c r="G163" s="7"/>
      <c r="H163" s="7"/>
      <c r="I163" s="956"/>
      <c r="K163" s="7"/>
      <c r="L163" s="7"/>
      <c r="M163" s="7"/>
      <c r="O163" s="484" t="s">
        <v>3392</v>
      </c>
      <c r="P163" s="3000"/>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11.45" customHeight="1">
      <c r="A165" s="3113" t="s">
        <v>4664</v>
      </c>
      <c r="B165" s="3114"/>
      <c r="C165" s="3114"/>
      <c r="D165" s="3114"/>
      <c r="E165" s="3114"/>
      <c r="F165" s="3114"/>
      <c r="G165" s="3114"/>
      <c r="H165" s="3114"/>
      <c r="I165" s="3114"/>
      <c r="J165" s="3114"/>
      <c r="K165" s="3114"/>
      <c r="L165" s="3114"/>
      <c r="M165" s="3114"/>
      <c r="N165" s="3114"/>
      <c r="O165" s="3114"/>
      <c r="P165" s="3114"/>
      <c r="Q165" s="3115"/>
      <c r="R165" s="462" t="s">
        <v>1265</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1879</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2672</v>
      </c>
      <c r="C170" s="1583"/>
      <c r="D170" s="1588"/>
      <c r="E170" s="1588"/>
      <c r="F170" s="1588"/>
      <c r="G170" s="1588"/>
      <c r="H170" s="1588"/>
      <c r="I170" s="1588"/>
      <c r="J170" s="1588"/>
      <c r="K170" s="1588"/>
      <c r="O170" s="136" t="s">
        <v>1880</v>
      </c>
      <c r="P170" s="1911"/>
      <c r="Q170" s="1912"/>
    </row>
    <row r="171" spans="1:32" ht="12" customHeight="1">
      <c r="A171" s="48" t="s">
        <v>1998</v>
      </c>
      <c r="B171" s="53" t="s">
        <v>3938</v>
      </c>
      <c r="D171" s="53"/>
      <c r="E171" s="53"/>
      <c r="F171" s="53"/>
      <c r="G171" s="53"/>
      <c r="I171" s="53" t="s">
        <v>2724</v>
      </c>
      <c r="K171" s="3156">
        <v>43647</v>
      </c>
      <c r="L171" s="3157"/>
      <c r="N171" s="53"/>
      <c r="O171" s="484" t="s">
        <v>1998</v>
      </c>
      <c r="P171" s="3000" t="s">
        <v>3010</v>
      </c>
      <c r="Q171" s="559"/>
    </row>
    <row r="172" spans="1:32" ht="12" customHeight="1">
      <c r="A172" s="48" t="s">
        <v>2000</v>
      </c>
      <c r="B172" s="144" t="s">
        <v>151</v>
      </c>
      <c r="D172" s="144"/>
      <c r="E172" s="144"/>
      <c r="F172" s="144"/>
      <c r="G172" s="144"/>
      <c r="H172" s="144"/>
      <c r="M172" s="484" t="s">
        <v>2000</v>
      </c>
      <c r="N172" s="3158" t="s">
        <v>4645</v>
      </c>
      <c r="O172" s="3159"/>
      <c r="P172" s="1999" t="s">
        <v>1783</v>
      </c>
      <c r="Q172" s="2000"/>
    </row>
    <row r="173" spans="1:32" ht="12" customHeight="1">
      <c r="A173" s="48" t="s">
        <v>756</v>
      </c>
      <c r="B173" s="144" t="s">
        <v>687</v>
      </c>
      <c r="D173" s="144"/>
      <c r="E173" s="144"/>
      <c r="F173" s="144"/>
      <c r="G173" s="144"/>
      <c r="H173" s="144"/>
      <c r="J173" s="484" t="s">
        <v>756</v>
      </c>
      <c r="K173" s="3128" t="s">
        <v>4566</v>
      </c>
      <c r="L173" s="3129"/>
      <c r="M173" s="3129"/>
      <c r="N173" s="3129"/>
      <c r="O173" s="3129"/>
      <c r="P173" s="3130"/>
      <c r="Q173" s="559"/>
    </row>
    <row r="174" spans="1:32" ht="12" customHeight="1">
      <c r="A174" s="48" t="s">
        <v>2130</v>
      </c>
      <c r="B174" s="144" t="s">
        <v>2900</v>
      </c>
      <c r="D174" s="144"/>
      <c r="E174" s="144"/>
      <c r="F174" s="144"/>
      <c r="G174" s="144"/>
      <c r="H174" s="144"/>
      <c r="J174" s="484"/>
      <c r="K174" s="484"/>
      <c r="L174" s="484"/>
      <c r="M174" s="484"/>
      <c r="N174" s="484"/>
      <c r="O174" s="484" t="s">
        <v>2130</v>
      </c>
      <c r="P174" s="3000" t="s">
        <v>3010</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11.45" customHeight="1">
      <c r="A176" s="3113" t="s">
        <v>4702</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1879</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2673</v>
      </c>
      <c r="C180" s="1583"/>
      <c r="D180" s="1588"/>
      <c r="E180" s="1588"/>
      <c r="F180" s="1588"/>
      <c r="G180" s="1588"/>
      <c r="H180" s="1588"/>
      <c r="I180" s="1588"/>
      <c r="J180" s="1588"/>
      <c r="K180" s="1588"/>
      <c r="L180" s="1588"/>
      <c r="M180" s="1588"/>
      <c r="O180" s="136" t="s">
        <v>1880</v>
      </c>
      <c r="P180" s="1911"/>
      <c r="Q180" s="1912"/>
    </row>
    <row r="181" spans="1:31" ht="21.75" customHeight="1">
      <c r="A181" s="146" t="s">
        <v>1998</v>
      </c>
      <c r="B181" s="1963" t="s">
        <v>3772</v>
      </c>
      <c r="C181" s="1963"/>
      <c r="D181" s="1963"/>
      <c r="E181" s="1963"/>
      <c r="F181" s="1963"/>
      <c r="G181" s="1963"/>
      <c r="H181" s="1963"/>
      <c r="I181" s="1963"/>
      <c r="J181" s="1963"/>
      <c r="K181" s="1963"/>
      <c r="L181" s="1963"/>
      <c r="M181" s="1963"/>
      <c r="N181" s="1963"/>
      <c r="O181" s="166" t="s">
        <v>1998</v>
      </c>
      <c r="P181" s="3071" t="s">
        <v>3010</v>
      </c>
      <c r="Q181" s="1261"/>
    </row>
    <row r="182" spans="1:31" ht="22.15" customHeight="1">
      <c r="A182" s="146" t="s">
        <v>2000</v>
      </c>
      <c r="B182" s="1963" t="s">
        <v>3664</v>
      </c>
      <c r="C182" s="1963"/>
      <c r="D182" s="1963"/>
      <c r="E182" s="1963"/>
      <c r="F182" s="1963"/>
      <c r="G182" s="1963"/>
      <c r="H182" s="1963"/>
      <c r="I182" s="1963"/>
      <c r="J182" s="1963"/>
      <c r="K182" s="1963"/>
      <c r="L182" s="1963"/>
      <c r="M182" s="1963"/>
      <c r="N182" s="1963"/>
      <c r="O182" s="166" t="s">
        <v>2000</v>
      </c>
      <c r="P182" s="3147"/>
      <c r="Q182" s="564"/>
    </row>
    <row r="183" spans="1:31" ht="22.15" customHeight="1">
      <c r="A183" s="146" t="s">
        <v>756</v>
      </c>
      <c r="B183" s="1963" t="s">
        <v>3773</v>
      </c>
      <c r="C183" s="1963"/>
      <c r="D183" s="1963"/>
      <c r="E183" s="1963"/>
      <c r="F183" s="1963"/>
      <c r="G183" s="1963"/>
      <c r="H183" s="1963"/>
      <c r="I183" s="1963"/>
      <c r="J183" s="1963"/>
      <c r="K183" s="1963"/>
      <c r="L183" s="1963"/>
      <c r="M183" s="1963"/>
      <c r="N183" s="1963"/>
      <c r="O183" s="166" t="s">
        <v>756</v>
      </c>
      <c r="P183" s="3147" t="s">
        <v>3013</v>
      </c>
      <c r="Q183" s="564"/>
    </row>
    <row r="184" spans="1:31" ht="21.75" customHeight="1">
      <c r="A184" s="146" t="s">
        <v>2130</v>
      </c>
      <c r="B184" s="1963" t="s">
        <v>2658</v>
      </c>
      <c r="C184" s="1963"/>
      <c r="D184" s="1963"/>
      <c r="E184" s="1963"/>
      <c r="F184" s="1963"/>
      <c r="G184" s="1963"/>
      <c r="H184" s="1963"/>
      <c r="I184" s="1963"/>
      <c r="J184" s="1963"/>
      <c r="K184" s="1963"/>
      <c r="L184" s="1963"/>
      <c r="M184" s="1963"/>
      <c r="N184" s="1963"/>
      <c r="O184" s="166" t="s">
        <v>2130</v>
      </c>
      <c r="P184" s="3094" t="s">
        <v>3013</v>
      </c>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11.45" customHeight="1">
      <c r="A186" s="3113" t="s">
        <v>4665</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1879</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2674</v>
      </c>
      <c r="C190" s="1882"/>
      <c r="D190" s="1882"/>
      <c r="O190" s="136" t="s">
        <v>1880</v>
      </c>
      <c r="P190" s="1911"/>
      <c r="Q190" s="1912"/>
    </row>
    <row r="191" spans="1:31" ht="12" customHeight="1">
      <c r="A191" s="146" t="s">
        <v>1998</v>
      </c>
      <c r="B191" s="932" t="s">
        <v>472</v>
      </c>
      <c r="D191" s="932"/>
      <c r="E191" s="932"/>
      <c r="F191" s="932"/>
      <c r="G191" s="932"/>
      <c r="H191" s="932"/>
      <c r="I191" s="932"/>
      <c r="J191" s="932"/>
      <c r="K191" s="932"/>
      <c r="L191" s="932"/>
      <c r="M191" s="932"/>
      <c r="O191" s="166" t="s">
        <v>1998</v>
      </c>
      <c r="P191" s="2929" t="s">
        <v>3010</v>
      </c>
      <c r="Q191" s="561"/>
    </row>
    <row r="192" spans="1:31" ht="12" customHeight="1">
      <c r="A192" s="146" t="s">
        <v>2000</v>
      </c>
      <c r="B192" s="932" t="s">
        <v>2659</v>
      </c>
      <c r="D192" s="932"/>
      <c r="E192" s="932"/>
      <c r="F192" s="932"/>
      <c r="G192" s="932"/>
      <c r="H192" s="932"/>
      <c r="I192" s="932"/>
      <c r="J192" s="932"/>
      <c r="K192" s="932"/>
      <c r="L192" s="932"/>
      <c r="M192" s="932"/>
      <c r="O192" s="166" t="s">
        <v>2000</v>
      </c>
      <c r="P192" s="2935" t="s">
        <v>3010</v>
      </c>
      <c r="Q192" s="562"/>
    </row>
    <row r="193" spans="1:32" ht="12" customHeight="1">
      <c r="A193" s="146" t="s">
        <v>756</v>
      </c>
      <c r="B193" s="932" t="s">
        <v>2660</v>
      </c>
      <c r="D193" s="932"/>
      <c r="E193" s="932"/>
      <c r="F193" s="932"/>
      <c r="G193" s="932"/>
      <c r="H193" s="932"/>
      <c r="I193" s="932"/>
      <c r="J193" s="932"/>
      <c r="K193" s="932"/>
      <c r="L193" s="932"/>
      <c r="M193" s="932"/>
      <c r="O193" s="166" t="s">
        <v>756</v>
      </c>
      <c r="P193" s="2935" t="s">
        <v>3010</v>
      </c>
      <c r="Q193" s="562"/>
    </row>
    <row r="194" spans="1:32" ht="12" customHeight="1">
      <c r="A194" s="146"/>
      <c r="B194" s="1963" t="s">
        <v>2648</v>
      </c>
      <c r="C194" s="1963"/>
      <c r="D194" s="484" t="s">
        <v>1749</v>
      </c>
      <c r="E194" s="956" t="s">
        <v>2661</v>
      </c>
      <c r="G194" s="932"/>
      <c r="H194" s="932"/>
      <c r="I194" s="932"/>
      <c r="J194" s="932"/>
      <c r="K194" s="932"/>
      <c r="L194" s="932"/>
      <c r="M194" s="932"/>
      <c r="O194" s="459" t="s">
        <v>1749</v>
      </c>
      <c r="P194" s="2935" t="s">
        <v>3010</v>
      </c>
      <c r="Q194" s="562"/>
    </row>
    <row r="195" spans="1:32" ht="12" customHeight="1">
      <c r="A195" s="146"/>
      <c r="B195" s="1963"/>
      <c r="C195" s="1963"/>
      <c r="D195" s="484" t="s">
        <v>1750</v>
      </c>
      <c r="E195" s="956" t="s">
        <v>2662</v>
      </c>
      <c r="G195" s="932"/>
      <c r="H195" s="932"/>
      <c r="I195" s="932"/>
      <c r="J195" s="932"/>
      <c r="K195" s="932"/>
      <c r="L195" s="932"/>
      <c r="M195" s="932"/>
      <c r="O195" s="459" t="s">
        <v>1750</v>
      </c>
      <c r="P195" s="2935" t="s">
        <v>3010</v>
      </c>
      <c r="Q195" s="562"/>
    </row>
    <row r="196" spans="1:32" s="137" customFormat="1" ht="21.75" customHeight="1">
      <c r="A196" s="146"/>
      <c r="C196" s="932"/>
      <c r="D196" s="166" t="s">
        <v>1751</v>
      </c>
      <c r="E196" s="1963" t="s">
        <v>3774</v>
      </c>
      <c r="F196" s="1963"/>
      <c r="G196" s="1963"/>
      <c r="H196" s="1963"/>
      <c r="I196" s="1963"/>
      <c r="J196" s="1963"/>
      <c r="K196" s="1963"/>
      <c r="L196" s="1963"/>
      <c r="M196" s="1963"/>
      <c r="N196" s="1963"/>
      <c r="O196" s="166" t="s">
        <v>1751</v>
      </c>
      <c r="P196" s="3147" t="s">
        <v>3010</v>
      </c>
      <c r="Q196" s="564"/>
      <c r="AE196" s="487"/>
      <c r="AF196" s="487"/>
    </row>
    <row r="197" spans="1:32" ht="12" customHeight="1">
      <c r="A197" s="146"/>
      <c r="C197" s="932"/>
      <c r="D197" s="484" t="s">
        <v>2380</v>
      </c>
      <c r="E197" s="956" t="s">
        <v>2663</v>
      </c>
      <c r="G197" s="932"/>
      <c r="H197" s="932"/>
      <c r="I197" s="932"/>
      <c r="J197" s="932"/>
      <c r="K197" s="932"/>
      <c r="L197" s="932"/>
      <c r="M197" s="932"/>
      <c r="O197" s="459" t="s">
        <v>2380</v>
      </c>
      <c r="P197" s="2935" t="s">
        <v>3010</v>
      </c>
      <c r="Q197" s="562"/>
    </row>
    <row r="198" spans="1:32" s="137" customFormat="1" ht="21.75" customHeight="1">
      <c r="A198" s="146"/>
      <c r="C198" s="932"/>
      <c r="D198" s="166" t="s">
        <v>1560</v>
      </c>
      <c r="E198" s="1963" t="s">
        <v>2664</v>
      </c>
      <c r="F198" s="1963"/>
      <c r="G198" s="1963"/>
      <c r="H198" s="1963"/>
      <c r="I198" s="1963"/>
      <c r="J198" s="1963"/>
      <c r="K198" s="1963"/>
      <c r="L198" s="1963"/>
      <c r="M198" s="1963"/>
      <c r="N198" s="1963"/>
      <c r="O198" s="166" t="s">
        <v>1560</v>
      </c>
      <c r="P198" s="3147" t="s">
        <v>4666</v>
      </c>
      <c r="Q198" s="564"/>
      <c r="AE198" s="487"/>
      <c r="AF198" s="487"/>
    </row>
    <row r="199" spans="1:32" s="137" customFormat="1" ht="21.75" customHeight="1">
      <c r="A199" s="146"/>
      <c r="C199" s="932"/>
      <c r="D199" s="166" t="s">
        <v>1561</v>
      </c>
      <c r="E199" s="1963" t="s">
        <v>3932</v>
      </c>
      <c r="F199" s="1963"/>
      <c r="G199" s="1963"/>
      <c r="H199" s="1963"/>
      <c r="I199" s="1963"/>
      <c r="J199" s="1963"/>
      <c r="K199" s="1963"/>
      <c r="L199" s="1963"/>
      <c r="M199" s="1963"/>
      <c r="N199" s="1963"/>
      <c r="O199" s="166" t="s">
        <v>1561</v>
      </c>
      <c r="P199" s="3147" t="s">
        <v>4666</v>
      </c>
      <c r="Q199" s="564"/>
      <c r="AE199" s="487"/>
      <c r="AF199" s="487"/>
    </row>
    <row r="200" spans="1:32" ht="21.75" customHeight="1">
      <c r="A200" s="146" t="s">
        <v>2130</v>
      </c>
      <c r="B200" s="1963" t="s">
        <v>2665</v>
      </c>
      <c r="C200" s="1963"/>
      <c r="D200" s="1963"/>
      <c r="E200" s="1963"/>
      <c r="F200" s="1963"/>
      <c r="G200" s="1963"/>
      <c r="H200" s="1963"/>
      <c r="I200" s="1963"/>
      <c r="J200" s="1963"/>
      <c r="K200" s="1963"/>
      <c r="L200" s="1963"/>
      <c r="M200" s="1963"/>
      <c r="N200" s="1963"/>
      <c r="O200" s="166" t="s">
        <v>2130</v>
      </c>
      <c r="P200" s="3147" t="s">
        <v>3010</v>
      </c>
      <c r="Q200" s="564"/>
    </row>
    <row r="201" spans="1:32" ht="12" customHeight="1">
      <c r="A201" s="146" t="s">
        <v>1747</v>
      </c>
      <c r="B201" s="932" t="s">
        <v>2394</v>
      </c>
      <c r="D201" s="932"/>
      <c r="E201" s="932"/>
      <c r="F201" s="932"/>
      <c r="G201" s="932"/>
      <c r="H201" s="932"/>
      <c r="I201" s="932"/>
      <c r="J201" s="932"/>
      <c r="K201" s="932"/>
      <c r="L201" s="932"/>
      <c r="M201" s="932"/>
      <c r="O201" s="166" t="s">
        <v>1747</v>
      </c>
      <c r="P201" s="2928" t="s">
        <v>3010</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11.45" customHeight="1">
      <c r="A203" s="3113" t="s">
        <v>4667</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1879</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2675</v>
      </c>
      <c r="C207" s="1583"/>
      <c r="D207" s="1588"/>
      <c r="E207" s="151"/>
      <c r="F207" s="151"/>
      <c r="G207" s="1588"/>
      <c r="J207" s="957"/>
      <c r="K207" s="510"/>
      <c r="L207" s="510"/>
      <c r="M207" s="510"/>
      <c r="N207" s="510"/>
      <c r="O207" s="136" t="s">
        <v>1880</v>
      </c>
      <c r="P207" s="1911"/>
      <c r="Q207" s="1912"/>
    </row>
    <row r="208" spans="1:32" ht="11.25" customHeight="1">
      <c r="A208" s="143"/>
      <c r="B208" s="144" t="s">
        <v>98</v>
      </c>
      <c r="D208" s="144"/>
      <c r="E208" s="144"/>
      <c r="F208" s="144"/>
      <c r="G208" s="144"/>
      <c r="H208" s="68" t="s">
        <v>1749</v>
      </c>
      <c r="I208" s="53" t="s">
        <v>153</v>
      </c>
      <c r="J208" s="3131" t="s">
        <v>4608</v>
      </c>
      <c r="K208" s="3132"/>
      <c r="L208" s="3132"/>
      <c r="M208" s="3132"/>
      <c r="N208" s="3160"/>
      <c r="O208" s="68" t="s">
        <v>1749</v>
      </c>
      <c r="P208" s="2929" t="s">
        <v>3013</v>
      </c>
      <c r="Q208" s="561"/>
    </row>
    <row r="209" spans="1:31" ht="11.25" customHeight="1">
      <c r="A209" s="143"/>
      <c r="B209" s="145" t="s">
        <v>3783</v>
      </c>
      <c r="C209" s="107"/>
      <c r="D209" s="107"/>
      <c r="E209" s="107"/>
      <c r="F209" s="107"/>
      <c r="H209" s="68" t="s">
        <v>1750</v>
      </c>
      <c r="I209" s="53" t="s">
        <v>1607</v>
      </c>
      <c r="J209" s="3161" t="s">
        <v>4609</v>
      </c>
      <c r="K209" s="3162"/>
      <c r="L209" s="3162"/>
      <c r="M209" s="3162"/>
      <c r="N209" s="3163"/>
      <c r="O209" s="68" t="s">
        <v>1750</v>
      </c>
      <c r="P209" s="2928" t="s">
        <v>3010</v>
      </c>
      <c r="Q209" s="563"/>
    </row>
    <row r="210" spans="1:31" ht="11.45" customHeight="1">
      <c r="A210" s="3113" t="s">
        <v>4668</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1879</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2676</v>
      </c>
      <c r="C214" s="4"/>
      <c r="D214" s="89"/>
      <c r="E214" s="89"/>
      <c r="F214" s="89"/>
      <c r="G214" s="1588"/>
      <c r="H214" s="1588"/>
      <c r="I214" s="1588"/>
      <c r="J214" s="1588"/>
      <c r="K214" s="1588"/>
      <c r="L214" s="1588"/>
      <c r="M214" s="1588"/>
      <c r="O214" s="136" t="s">
        <v>1880</v>
      </c>
      <c r="P214" s="1911"/>
      <c r="Q214" s="1912"/>
    </row>
    <row r="215" spans="1:31" ht="4.1500000000000004" customHeight="1"/>
    <row r="216" spans="1:31" ht="11.45" customHeight="1">
      <c r="A216" s="146" t="s">
        <v>1998</v>
      </c>
      <c r="B216" s="544" t="s">
        <v>1749</v>
      </c>
      <c r="C216" s="420" t="s">
        <v>518</v>
      </c>
      <c r="E216" s="420"/>
      <c r="F216" s="420"/>
      <c r="G216" s="420"/>
      <c r="H216" s="420"/>
      <c r="I216" s="420"/>
      <c r="J216" s="420"/>
      <c r="K216" s="420"/>
      <c r="L216" s="420"/>
      <c r="M216" s="420"/>
      <c r="N216" s="420"/>
      <c r="O216" s="166" t="s">
        <v>1497</v>
      </c>
      <c r="P216" s="2929" t="s">
        <v>3013</v>
      </c>
      <c r="Q216" s="561"/>
    </row>
    <row r="217" spans="1:31" ht="11.45" customHeight="1">
      <c r="A217" s="146"/>
      <c r="B217" s="544" t="s">
        <v>1750</v>
      </c>
      <c r="C217" s="420" t="s">
        <v>1478</v>
      </c>
      <c r="E217" s="420"/>
      <c r="F217" s="420"/>
      <c r="G217" s="420"/>
      <c r="H217" s="420"/>
      <c r="I217" s="420"/>
      <c r="J217" s="420"/>
      <c r="K217" s="420"/>
      <c r="L217" s="420"/>
      <c r="M217" s="420"/>
      <c r="N217" s="420"/>
      <c r="O217" s="166" t="s">
        <v>1750</v>
      </c>
      <c r="P217" s="2935"/>
      <c r="Q217" s="562"/>
    </row>
    <row r="218" spans="1:31" ht="11.45" customHeight="1">
      <c r="A218" s="146" t="s">
        <v>2000</v>
      </c>
      <c r="B218" s="1963" t="s">
        <v>1862</v>
      </c>
      <c r="C218" s="1963"/>
      <c r="D218" s="1963"/>
      <c r="E218" s="1963"/>
      <c r="F218" s="1963"/>
      <c r="G218" s="1963"/>
      <c r="H218" s="68" t="s">
        <v>1749</v>
      </c>
      <c r="I218" s="53" t="s">
        <v>640</v>
      </c>
      <c r="J218" s="3131" t="s">
        <v>4631</v>
      </c>
      <c r="K218" s="3132"/>
      <c r="L218" s="3132"/>
      <c r="M218" s="3132"/>
      <c r="N218" s="3160"/>
      <c r="O218" s="68" t="s">
        <v>1457</v>
      </c>
      <c r="P218" s="2935" t="s">
        <v>3010</v>
      </c>
      <c r="Q218" s="562"/>
    </row>
    <row r="219" spans="1:31" ht="11.45" customHeight="1">
      <c r="A219" s="155"/>
      <c r="B219" s="1963"/>
      <c r="C219" s="1963"/>
      <c r="D219" s="1963"/>
      <c r="E219" s="1963"/>
      <c r="F219" s="1963"/>
      <c r="G219" s="1963"/>
      <c r="H219" s="68" t="s">
        <v>1750</v>
      </c>
      <c r="I219" s="53" t="s">
        <v>117</v>
      </c>
      <c r="J219" s="3161" t="s">
        <v>4631</v>
      </c>
      <c r="K219" s="3162"/>
      <c r="L219" s="3162"/>
      <c r="M219" s="3162"/>
      <c r="N219" s="3163"/>
      <c r="O219" s="68" t="s">
        <v>1750</v>
      </c>
      <c r="P219" s="2935" t="s">
        <v>3010</v>
      </c>
      <c r="Q219" s="562"/>
    </row>
    <row r="220" spans="1:31" ht="12" customHeight="1">
      <c r="A220" s="48" t="s">
        <v>756</v>
      </c>
      <c r="B220" s="53" t="s">
        <v>3939</v>
      </c>
      <c r="D220" s="53"/>
      <c r="E220" s="53"/>
      <c r="F220" s="53"/>
      <c r="G220" s="53"/>
      <c r="H220" s="53"/>
      <c r="I220" s="53"/>
      <c r="J220" s="53"/>
      <c r="K220" s="43"/>
      <c r="L220" s="53"/>
      <c r="M220" s="53"/>
      <c r="O220" s="484" t="s">
        <v>756</v>
      </c>
      <c r="P220" s="2935" t="s">
        <v>3010</v>
      </c>
      <c r="Q220" s="562"/>
    </row>
    <row r="221" spans="1:31" ht="12" customHeight="1">
      <c r="A221" s="48" t="s">
        <v>2130</v>
      </c>
      <c r="B221" s="53" t="s">
        <v>3940</v>
      </c>
      <c r="D221" s="53"/>
      <c r="E221" s="53"/>
      <c r="F221" s="53"/>
      <c r="G221" s="53"/>
      <c r="H221" s="53"/>
      <c r="I221" s="53"/>
      <c r="J221" s="53"/>
      <c r="K221" s="43"/>
      <c r="L221" s="53"/>
      <c r="M221" s="53"/>
      <c r="O221" s="484" t="s">
        <v>2130</v>
      </c>
      <c r="P221" s="2928" t="s">
        <v>3010</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11.45" customHeight="1">
      <c r="A223" s="3113" t="s">
        <v>4669</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1879</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1738</v>
      </c>
      <c r="B227" s="1583" t="s">
        <v>2677</v>
      </c>
      <c r="C227" s="116"/>
      <c r="D227" s="1588"/>
      <c r="E227" s="1588"/>
      <c r="F227" s="1588"/>
      <c r="G227" s="1588"/>
      <c r="H227" s="1588"/>
      <c r="I227" s="1588"/>
      <c r="J227" s="1588"/>
      <c r="K227" s="1588"/>
      <c r="L227" s="1588"/>
      <c r="M227" s="1588"/>
      <c r="O227" s="136" t="s">
        <v>1880</v>
      </c>
      <c r="P227" s="1911"/>
      <c r="Q227" s="1912"/>
    </row>
    <row r="228" spans="1:32" s="28" customFormat="1" ht="11.45" customHeight="1">
      <c r="B228" s="149" t="s">
        <v>1202</v>
      </c>
      <c r="N228" s="124"/>
      <c r="P228" s="3000" t="s">
        <v>3013</v>
      </c>
      <c r="Q228" s="559"/>
      <c r="AE228" s="120"/>
      <c r="AF228" s="120"/>
    </row>
    <row r="229" spans="1:32" ht="12" customHeight="1">
      <c r="A229" s="48" t="s">
        <v>1998</v>
      </c>
      <c r="B229" s="37" t="s">
        <v>3732</v>
      </c>
      <c r="D229" s="43"/>
      <c r="E229" s="43"/>
      <c r="F229" s="43"/>
      <c r="G229" s="43"/>
      <c r="H229" s="43"/>
      <c r="I229" s="43"/>
      <c r="J229" s="43"/>
      <c r="K229" s="43"/>
      <c r="L229" s="43"/>
      <c r="M229" s="43"/>
      <c r="O229" s="484" t="s">
        <v>1998</v>
      </c>
      <c r="P229" s="3000" t="s">
        <v>4610</v>
      </c>
      <c r="Q229" s="561"/>
    </row>
    <row r="230" spans="1:32" ht="11.45" customHeight="1">
      <c r="A230" s="48"/>
      <c r="B230" s="68" t="s">
        <v>1749</v>
      </c>
      <c r="C230" s="53" t="s">
        <v>1945</v>
      </c>
      <c r="E230" s="53"/>
      <c r="F230" s="53"/>
      <c r="G230" s="53"/>
      <c r="H230" s="53"/>
      <c r="I230" s="43"/>
      <c r="J230" s="68" t="s">
        <v>1497</v>
      </c>
      <c r="K230" s="3131" t="s">
        <v>536</v>
      </c>
      <c r="L230" s="3160"/>
      <c r="Q230" s="562"/>
    </row>
    <row r="231" spans="1:32" ht="11.45" customHeight="1">
      <c r="A231" s="48"/>
      <c r="B231" s="68" t="s">
        <v>1750</v>
      </c>
      <c r="C231" s="956" t="s">
        <v>2740</v>
      </c>
      <c r="E231" s="956"/>
      <c r="F231" s="956"/>
      <c r="G231" s="956"/>
      <c r="H231" s="956"/>
      <c r="I231" s="43"/>
      <c r="J231" s="68" t="s">
        <v>1498</v>
      </c>
      <c r="K231" s="3164" t="s">
        <v>4646</v>
      </c>
      <c r="L231" s="3165"/>
      <c r="M231" s="3166" t="s">
        <v>2741</v>
      </c>
      <c r="N231" s="3167"/>
      <c r="O231" s="3167"/>
      <c r="P231" s="3168"/>
      <c r="Q231" s="562"/>
    </row>
    <row r="232" spans="1:32" ht="11.45" customHeight="1">
      <c r="A232" s="48"/>
      <c r="B232" s="68" t="s">
        <v>1751</v>
      </c>
      <c r="C232" s="956" t="s">
        <v>562</v>
      </c>
      <c r="E232" s="956"/>
      <c r="F232" s="956"/>
      <c r="G232" s="956"/>
      <c r="H232" s="956"/>
      <c r="I232" s="43"/>
      <c r="J232" s="68" t="s">
        <v>1499</v>
      </c>
      <c r="K232" s="3161" t="s">
        <v>4611</v>
      </c>
      <c r="L232" s="3162"/>
      <c r="M232" s="3163"/>
      <c r="N232" s="1284"/>
      <c r="O232" s="1285"/>
      <c r="P232" s="1286"/>
      <c r="Q232" s="563"/>
      <c r="R232" s="43"/>
    </row>
    <row r="233" spans="1:32" ht="12" customHeight="1">
      <c r="A233" s="48" t="s">
        <v>2000</v>
      </c>
      <c r="B233" s="53" t="s">
        <v>2525</v>
      </c>
      <c r="D233" s="53"/>
      <c r="E233" s="53"/>
      <c r="F233" s="53"/>
      <c r="G233" s="53"/>
      <c r="H233" s="53"/>
      <c r="I233" s="53"/>
      <c r="J233" s="53"/>
      <c r="K233" s="43"/>
      <c r="L233" s="43"/>
      <c r="M233" s="43"/>
      <c r="N233" s="43"/>
      <c r="O233" s="484" t="s">
        <v>2000</v>
      </c>
      <c r="P233" s="3000" t="s">
        <v>4610</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3169" t="s">
        <v>1670</v>
      </c>
      <c r="D236" s="3170"/>
      <c r="E236" s="3170"/>
      <c r="F236" s="3170"/>
      <c r="G236" s="3171"/>
      <c r="H236" s="568"/>
      <c r="I236" s="569"/>
      <c r="J236" s="68" t="s">
        <v>1751</v>
      </c>
      <c r="K236" s="3169"/>
      <c r="L236" s="3170"/>
      <c r="M236" s="3170"/>
      <c r="N236" s="3170"/>
      <c r="O236" s="3171"/>
      <c r="P236" s="561"/>
      <c r="Q236" s="569"/>
      <c r="AE236" s="55"/>
      <c r="AF236" s="55"/>
    </row>
    <row r="237" spans="1:32" s="44" customFormat="1" ht="11.45" customHeight="1">
      <c r="A237" s="52"/>
      <c r="B237" s="68" t="s">
        <v>1750</v>
      </c>
      <c r="C237" s="3172" t="s">
        <v>4647</v>
      </c>
      <c r="D237" s="3173"/>
      <c r="E237" s="3173"/>
      <c r="F237" s="3173"/>
      <c r="G237" s="3174"/>
      <c r="H237" s="570"/>
      <c r="I237" s="571"/>
      <c r="J237" s="68" t="s">
        <v>2380</v>
      </c>
      <c r="K237" s="3172"/>
      <c r="L237" s="3173"/>
      <c r="M237" s="3173"/>
      <c r="N237" s="3173"/>
      <c r="O237" s="3174"/>
      <c r="P237" s="563"/>
      <c r="Q237" s="571"/>
      <c r="AE237" s="55"/>
      <c r="AF237" s="55"/>
    </row>
    <row r="238" spans="1:32" ht="12" customHeight="1">
      <c r="A238" s="48" t="s">
        <v>756</v>
      </c>
      <c r="B238" s="53" t="s">
        <v>1392</v>
      </c>
      <c r="C238" s="53"/>
      <c r="E238" s="53"/>
      <c r="F238" s="53"/>
      <c r="G238" s="53"/>
      <c r="H238" s="53"/>
      <c r="I238" s="53"/>
      <c r="J238" s="53"/>
      <c r="K238" s="43"/>
      <c r="L238" s="53"/>
      <c r="M238" s="53"/>
      <c r="O238" s="484" t="s">
        <v>756</v>
      </c>
      <c r="P238" s="2929" t="s">
        <v>4610</v>
      </c>
      <c r="Q238" s="561"/>
    </row>
    <row r="239" spans="1:32" ht="11.45" customHeight="1">
      <c r="A239" s="48"/>
      <c r="B239" s="68" t="s">
        <v>1749</v>
      </c>
      <c r="C239" s="53" t="s">
        <v>3487</v>
      </c>
      <c r="E239" s="53"/>
      <c r="F239" s="53"/>
      <c r="L239" s="34"/>
      <c r="M239" s="34"/>
      <c r="O239" s="68" t="s">
        <v>1749</v>
      </c>
      <c r="P239" s="2935" t="s">
        <v>3010</v>
      </c>
      <c r="Q239" s="562"/>
    </row>
    <row r="240" spans="1:32" ht="11.45" customHeight="1">
      <c r="B240" s="68" t="s">
        <v>1750</v>
      </c>
      <c r="C240" s="956" t="s">
        <v>2825</v>
      </c>
      <c r="E240" s="956"/>
      <c r="F240" s="956"/>
      <c r="L240" s="34"/>
      <c r="M240" s="34"/>
      <c r="O240" s="68" t="s">
        <v>1750</v>
      </c>
      <c r="P240" s="2935" t="s">
        <v>3010</v>
      </c>
      <c r="Q240" s="562"/>
    </row>
    <row r="241" spans="1:31" ht="11.45" customHeight="1">
      <c r="B241" s="68" t="s">
        <v>1751</v>
      </c>
      <c r="C241" s="956" t="s">
        <v>2826</v>
      </c>
      <c r="E241" s="956"/>
      <c r="F241" s="956"/>
      <c r="G241" s="956"/>
      <c r="H241" s="956"/>
      <c r="I241" s="43"/>
      <c r="J241" s="34"/>
      <c r="K241" s="43"/>
      <c r="L241" s="34"/>
      <c r="M241" s="34"/>
      <c r="O241" s="68" t="s">
        <v>1751</v>
      </c>
      <c r="P241" s="2935" t="s">
        <v>3010</v>
      </c>
      <c r="Q241" s="562"/>
    </row>
    <row r="242" spans="1:31" ht="11.45" customHeight="1">
      <c r="A242" s="48"/>
      <c r="B242" s="68" t="s">
        <v>2380</v>
      </c>
      <c r="C242" s="956" t="s">
        <v>2827</v>
      </c>
      <c r="E242" s="956"/>
      <c r="F242" s="956"/>
      <c r="G242" s="956"/>
      <c r="H242" s="956"/>
      <c r="I242" s="43"/>
      <c r="J242" s="34"/>
      <c r="K242" s="43"/>
      <c r="L242" s="34"/>
      <c r="M242" s="34"/>
      <c r="O242" s="68" t="s">
        <v>2380</v>
      </c>
      <c r="P242" s="2935" t="s">
        <v>3010</v>
      </c>
      <c r="Q242" s="562"/>
    </row>
    <row r="243" spans="1:31" ht="11.45" customHeight="1">
      <c r="A243" s="48"/>
      <c r="B243" s="68" t="s">
        <v>1560</v>
      </c>
      <c r="C243" s="956" t="s">
        <v>2828</v>
      </c>
      <c r="E243" s="956"/>
      <c r="F243" s="956"/>
      <c r="G243" s="956"/>
      <c r="H243" s="956"/>
      <c r="I243" s="43"/>
      <c r="J243" s="34"/>
      <c r="K243" s="43"/>
      <c r="L243" s="34"/>
      <c r="M243" s="34"/>
      <c r="O243" s="68" t="s">
        <v>1560</v>
      </c>
      <c r="P243" s="2935" t="s">
        <v>3010</v>
      </c>
      <c r="Q243" s="562"/>
    </row>
    <row r="244" spans="1:31" ht="11.45" customHeight="1">
      <c r="A244" s="48"/>
      <c r="B244" s="484" t="s">
        <v>1561</v>
      </c>
      <c r="C244" s="53" t="s">
        <v>782</v>
      </c>
      <c r="E244" s="53"/>
      <c r="F244" s="53"/>
      <c r="G244" s="53"/>
      <c r="H244" s="53"/>
      <c r="I244" s="43"/>
      <c r="J244" s="34"/>
      <c r="K244" s="43"/>
      <c r="L244" s="34"/>
      <c r="M244" s="34"/>
      <c r="O244" s="484" t="s">
        <v>2816</v>
      </c>
      <c r="P244" s="2935" t="s">
        <v>3010</v>
      </c>
      <c r="Q244" s="562"/>
    </row>
    <row r="245" spans="1:31" ht="11.45" customHeight="1">
      <c r="A245" s="48"/>
      <c r="B245" s="68"/>
      <c r="C245" s="53" t="s">
        <v>1500</v>
      </c>
      <c r="E245" s="53"/>
      <c r="F245" s="53"/>
      <c r="G245" s="53"/>
      <c r="H245" s="53"/>
      <c r="I245" s="43"/>
      <c r="J245" s="34"/>
      <c r="K245" s="43"/>
      <c r="L245" s="34"/>
      <c r="M245" s="34"/>
      <c r="O245" s="484" t="s">
        <v>2817</v>
      </c>
      <c r="P245" s="2928" t="s">
        <v>3013</v>
      </c>
      <c r="Q245" s="563"/>
    </row>
    <row r="246" spans="1:31" ht="12" customHeight="1">
      <c r="A246" s="48" t="s">
        <v>2130</v>
      </c>
      <c r="B246" s="53" t="s">
        <v>3689</v>
      </c>
      <c r="C246" s="53"/>
      <c r="E246" s="53"/>
      <c r="F246" s="53"/>
      <c r="G246" s="53"/>
      <c r="H246" s="53"/>
      <c r="I246" s="53"/>
      <c r="J246" s="53"/>
      <c r="K246" s="43"/>
      <c r="L246" s="53"/>
      <c r="M246" s="53"/>
      <c r="O246" s="484" t="s">
        <v>2130</v>
      </c>
      <c r="P246" s="2929" t="s">
        <v>4610</v>
      </c>
      <c r="Q246" s="561"/>
    </row>
    <row r="247" spans="1:31" ht="11.45" customHeight="1">
      <c r="B247" s="68" t="s">
        <v>1749</v>
      </c>
      <c r="C247" s="40" t="s">
        <v>1266</v>
      </c>
      <c r="E247" s="43"/>
      <c r="F247" s="43"/>
      <c r="G247" s="40"/>
      <c r="H247" s="956"/>
      <c r="I247" s="43"/>
      <c r="J247" s="956"/>
      <c r="K247" s="43"/>
      <c r="L247" s="956"/>
      <c r="M247" s="956"/>
      <c r="O247" s="68" t="s">
        <v>1749</v>
      </c>
      <c r="P247" s="2935"/>
      <c r="Q247" s="562"/>
    </row>
    <row r="248" spans="1:31" ht="11.45" customHeight="1">
      <c r="B248" s="68" t="s">
        <v>1750</v>
      </c>
      <c r="C248" s="37" t="s">
        <v>3941</v>
      </c>
      <c r="E248" s="43"/>
      <c r="F248" s="43"/>
      <c r="G248" s="956"/>
      <c r="H248" s="956"/>
      <c r="I248" s="43"/>
      <c r="J248" s="956"/>
      <c r="K248" s="43"/>
      <c r="L248" s="956"/>
      <c r="M248" s="956"/>
      <c r="O248" s="68" t="s">
        <v>1750</v>
      </c>
      <c r="P248" s="2928"/>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11.45" customHeight="1">
      <c r="A250" s="3113" t="s">
        <v>4670</v>
      </c>
      <c r="B250" s="3114"/>
      <c r="C250" s="3114"/>
      <c r="D250" s="3114"/>
      <c r="E250" s="3114"/>
      <c r="F250" s="3114"/>
      <c r="G250" s="3114"/>
      <c r="H250" s="3114"/>
      <c r="I250" s="3114"/>
      <c r="J250" s="3114"/>
      <c r="K250" s="3114"/>
      <c r="L250" s="3114"/>
      <c r="M250" s="3114"/>
      <c r="N250" s="3114"/>
      <c r="O250" s="3114"/>
      <c r="P250" s="3114"/>
      <c r="Q250" s="3115"/>
      <c r="R250" s="461" t="s">
        <v>1265</v>
      </c>
      <c r="S250" s="462"/>
      <c r="U250" s="140"/>
      <c r="V250" s="140"/>
      <c r="W250" s="140"/>
      <c r="X250" s="140"/>
      <c r="Y250" s="140"/>
      <c r="Z250" s="140"/>
      <c r="AA250" s="140"/>
      <c r="AB250" s="140"/>
      <c r="AC250" s="140"/>
      <c r="AD250" s="140"/>
      <c r="AE250" s="486"/>
    </row>
    <row r="251" spans="1:31" ht="11.25" customHeight="1">
      <c r="B251" s="141" t="s">
        <v>1879</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2799</v>
      </c>
      <c r="B254" s="4" t="s">
        <v>2678</v>
      </c>
      <c r="C254" s="4"/>
      <c r="D254" s="89"/>
      <c r="E254" s="89"/>
      <c r="F254" s="89"/>
      <c r="G254" s="89"/>
      <c r="H254" s="1588"/>
      <c r="I254" s="1588"/>
      <c r="J254" s="1588"/>
      <c r="K254" s="1588"/>
      <c r="L254" s="1973"/>
      <c r="M254" s="1974"/>
      <c r="O254" s="136" t="s">
        <v>1880</v>
      </c>
      <c r="P254" s="1911"/>
      <c r="Q254" s="1912"/>
    </row>
    <row r="255" spans="1:31" ht="4.9000000000000004" customHeight="1">
      <c r="L255" s="1973"/>
      <c r="M255" s="1974"/>
      <c r="N255" s="56"/>
    </row>
    <row r="256" spans="1:31" ht="11.45" customHeight="1">
      <c r="A256" s="48" t="s">
        <v>1998</v>
      </c>
      <c r="B256" s="53" t="s">
        <v>1279</v>
      </c>
      <c r="D256" s="43"/>
      <c r="E256" s="53"/>
      <c r="F256" s="53"/>
      <c r="J256" s="484" t="s">
        <v>1998</v>
      </c>
      <c r="K256" s="3128" t="s">
        <v>4648</v>
      </c>
      <c r="L256" s="3129"/>
      <c r="M256" s="3129"/>
      <c r="N256" s="3129"/>
      <c r="O256" s="3130"/>
      <c r="P256" s="1967" t="s">
        <v>1783</v>
      </c>
      <c r="Q256" s="1968"/>
    </row>
    <row r="257" spans="1:32" ht="11.45" customHeight="1">
      <c r="A257" s="48" t="s">
        <v>2000</v>
      </c>
      <c r="B257" s="53" t="s">
        <v>2829</v>
      </c>
      <c r="D257" s="53"/>
      <c r="E257" s="53"/>
      <c r="F257" s="53"/>
      <c r="J257" s="484" t="s">
        <v>2000</v>
      </c>
      <c r="K257" s="3175">
        <v>43239</v>
      </c>
      <c r="L257" s="3176"/>
      <c r="M257" s="3176"/>
      <c r="N257" s="3176"/>
      <c r="O257" s="3177"/>
      <c r="P257" s="1969"/>
      <c r="Q257" s="1970"/>
    </row>
    <row r="258" spans="1:32" s="152" customFormat="1" ht="11.45" customHeight="1">
      <c r="A258" s="48"/>
      <c r="B258" s="53" t="s">
        <v>1959</v>
      </c>
      <c r="D258" s="53"/>
      <c r="E258" s="53"/>
      <c r="F258" s="53"/>
      <c r="K258" s="3161" t="s">
        <v>4671</v>
      </c>
      <c r="L258" s="3162"/>
      <c r="M258" s="3162"/>
      <c r="N258" s="3162"/>
      <c r="O258" s="3163"/>
      <c r="P258" s="1971"/>
      <c r="Q258" s="1972"/>
      <c r="AE258" s="488"/>
      <c r="AF258" s="488"/>
    </row>
    <row r="259" spans="1:32" s="152" customFormat="1" ht="11.45" customHeight="1">
      <c r="A259" s="48"/>
      <c r="B259" s="53" t="s">
        <v>2559</v>
      </c>
      <c r="D259" s="53"/>
      <c r="E259" s="53"/>
      <c r="F259" s="53"/>
      <c r="G259" s="53"/>
      <c r="H259" s="53"/>
      <c r="I259" s="97"/>
      <c r="J259" s="97"/>
      <c r="M259" s="37"/>
      <c r="N259" s="1091"/>
      <c r="O259" s="484"/>
      <c r="P259" s="2980" t="s">
        <v>3010</v>
      </c>
      <c r="Q259" s="1005"/>
      <c r="AE259" s="488"/>
      <c r="AF259" s="488"/>
    </row>
    <row r="260" spans="1:32" s="152" customFormat="1" ht="11.45" customHeight="1">
      <c r="A260" s="48" t="s">
        <v>756</v>
      </c>
      <c r="B260" s="53" t="s">
        <v>3790</v>
      </c>
      <c r="D260" s="53"/>
      <c r="E260" s="53"/>
      <c r="F260" s="53"/>
      <c r="M260" s="37"/>
      <c r="N260" s="1091"/>
      <c r="O260" s="484" t="s">
        <v>756</v>
      </c>
      <c r="P260" s="2929" t="s">
        <v>3010</v>
      </c>
      <c r="Q260" s="561"/>
      <c r="AE260" s="488"/>
      <c r="AF260" s="488"/>
    </row>
    <row r="261" spans="1:32" s="152" customFormat="1" ht="11.45" customHeight="1">
      <c r="A261" s="48"/>
      <c r="B261" s="53" t="s">
        <v>3789</v>
      </c>
      <c r="D261" s="53"/>
      <c r="E261" s="53"/>
      <c r="F261" s="53"/>
      <c r="K261" s="3128" t="s">
        <v>4672</v>
      </c>
      <c r="L261" s="3129"/>
      <c r="M261" s="3129"/>
      <c r="N261" s="3129"/>
      <c r="O261" s="3130"/>
      <c r="P261" s="1975"/>
      <c r="Q261" s="1976"/>
      <c r="AE261" s="488"/>
      <c r="AF261" s="488"/>
    </row>
    <row r="262" spans="1:32" s="152" customFormat="1" ht="11.45" customHeight="1">
      <c r="A262" s="48" t="s">
        <v>2130</v>
      </c>
      <c r="B262" s="53" t="s">
        <v>3942</v>
      </c>
      <c r="D262" s="53"/>
      <c r="E262" s="53"/>
      <c r="F262" s="53"/>
      <c r="G262" s="53"/>
      <c r="H262" s="53"/>
      <c r="I262" s="97"/>
      <c r="J262" s="97"/>
      <c r="K262" s="97"/>
      <c r="M262" s="37"/>
      <c r="N262" s="1091"/>
      <c r="O262" s="484" t="s">
        <v>2130</v>
      </c>
      <c r="P262" s="2929" t="s">
        <v>3010</v>
      </c>
      <c r="Q262" s="561"/>
      <c r="AE262" s="488"/>
      <c r="AF262" s="488"/>
    </row>
    <row r="263" spans="1:32" s="152" customFormat="1" ht="11.45" customHeight="1">
      <c r="A263" s="48"/>
      <c r="B263" s="1963" t="s">
        <v>3791</v>
      </c>
      <c r="C263" s="1963"/>
      <c r="D263" s="1963"/>
      <c r="E263" s="1963"/>
      <c r="F263" s="1963"/>
      <c r="G263" s="1963"/>
      <c r="H263" s="446" t="s">
        <v>4169</v>
      </c>
      <c r="K263" s="97"/>
      <c r="M263" s="37"/>
      <c r="N263" s="1091"/>
      <c r="O263" s="68" t="s">
        <v>1749</v>
      </c>
      <c r="P263" s="2935" t="s">
        <v>3010</v>
      </c>
      <c r="Q263" s="562"/>
      <c r="AE263" s="488"/>
      <c r="AF263" s="488"/>
    </row>
    <row r="264" spans="1:32" s="152" customFormat="1" ht="11.45" customHeight="1">
      <c r="A264" s="48"/>
      <c r="B264" s="1963"/>
      <c r="C264" s="1963"/>
      <c r="D264" s="1963"/>
      <c r="E264" s="1963"/>
      <c r="F264" s="1963"/>
      <c r="G264" s="1963"/>
      <c r="H264" s="56" t="s">
        <v>4170</v>
      </c>
      <c r="K264" s="97"/>
      <c r="M264" s="37"/>
      <c r="N264" s="1091"/>
      <c r="O264" s="68" t="s">
        <v>1750</v>
      </c>
      <c r="P264" s="2935" t="s">
        <v>3010</v>
      </c>
      <c r="Q264" s="562"/>
      <c r="AE264" s="488"/>
      <c r="AF264" s="488"/>
    </row>
    <row r="265" spans="1:32" s="152" customFormat="1" ht="11.45" customHeight="1">
      <c r="A265" s="48"/>
      <c r="B265" s="53"/>
      <c r="D265" s="53"/>
      <c r="E265" s="53"/>
      <c r="F265" s="53"/>
      <c r="G265" s="53"/>
      <c r="H265" s="56" t="s">
        <v>4171</v>
      </c>
      <c r="K265" s="97"/>
      <c r="M265" s="37"/>
      <c r="N265" s="1091"/>
      <c r="O265" s="68" t="s">
        <v>1751</v>
      </c>
      <c r="P265" s="2935" t="s">
        <v>3010</v>
      </c>
      <c r="Q265" s="562"/>
      <c r="AE265" s="488"/>
      <c r="AF265" s="488"/>
    </row>
    <row r="266" spans="1:32" s="152" customFormat="1" ht="11.45" customHeight="1">
      <c r="A266" s="48"/>
      <c r="B266" s="53"/>
      <c r="D266" s="53"/>
      <c r="E266" s="53"/>
      <c r="F266" s="53"/>
      <c r="G266" s="53"/>
      <c r="H266" s="56" t="s">
        <v>4172</v>
      </c>
      <c r="K266" s="97"/>
      <c r="M266" s="37"/>
      <c r="N266" s="1091"/>
      <c r="O266" s="484" t="s">
        <v>2380</v>
      </c>
      <c r="P266" s="2928" t="s">
        <v>3010</v>
      </c>
      <c r="Q266" s="563"/>
      <c r="AE266" s="488"/>
      <c r="AF266" s="488"/>
    </row>
    <row r="267" spans="1:32" s="152" customFormat="1" ht="22.15" customHeight="1">
      <c r="A267" s="146" t="s">
        <v>1747</v>
      </c>
      <c r="B267" s="1963" t="s">
        <v>3943</v>
      </c>
      <c r="C267" s="1963"/>
      <c r="D267" s="1963"/>
      <c r="E267" s="1963"/>
      <c r="F267" s="1963"/>
      <c r="G267" s="1963"/>
      <c r="H267" s="1963"/>
      <c r="I267" s="1963"/>
      <c r="J267" s="1963"/>
      <c r="K267" s="1963"/>
      <c r="L267" s="1963"/>
      <c r="M267" s="1963"/>
      <c r="N267" s="1963"/>
      <c r="O267" s="166" t="s">
        <v>1747</v>
      </c>
      <c r="P267" s="3178" t="s">
        <v>4610</v>
      </c>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13.15" customHeight="1">
      <c r="A269" s="3113" t="s">
        <v>4703</v>
      </c>
      <c r="B269" s="3114"/>
      <c r="C269" s="3114"/>
      <c r="D269" s="3114"/>
      <c r="E269" s="3114"/>
      <c r="F269" s="3114"/>
      <c r="G269" s="3114"/>
      <c r="H269" s="3114"/>
      <c r="I269" s="3114"/>
      <c r="J269" s="3114"/>
      <c r="K269" s="3114"/>
      <c r="L269" s="3114"/>
      <c r="M269" s="3114"/>
      <c r="N269" s="3114"/>
      <c r="O269" s="3114"/>
      <c r="P269" s="3114"/>
      <c r="Q269" s="3115"/>
      <c r="R269" s="461" t="s">
        <v>1265</v>
      </c>
      <c r="S269" s="462"/>
      <c r="U269" s="140"/>
      <c r="V269" s="140"/>
      <c r="W269" s="140"/>
      <c r="X269" s="140"/>
      <c r="Y269" s="140"/>
      <c r="Z269" s="140"/>
      <c r="AA269" s="140"/>
      <c r="AB269" s="140"/>
      <c r="AC269" s="140"/>
      <c r="AD269" s="140"/>
      <c r="AE269" s="486"/>
    </row>
    <row r="270" spans="1:32" ht="10.9" customHeight="1">
      <c r="B270" s="141" t="s">
        <v>1879</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2266</v>
      </c>
      <c r="B273" s="4" t="s">
        <v>2679</v>
      </c>
      <c r="C273" s="4"/>
      <c r="D273" s="89"/>
      <c r="E273" s="89"/>
      <c r="F273" s="89"/>
      <c r="G273" s="89"/>
      <c r="H273" s="1588"/>
      <c r="I273" s="1588"/>
      <c r="J273" s="1588"/>
      <c r="K273" s="1588"/>
      <c r="L273" s="1588"/>
      <c r="M273" s="1588"/>
      <c r="O273" s="136" t="s">
        <v>1880</v>
      </c>
      <c r="P273" s="1911"/>
      <c r="Q273" s="1912"/>
    </row>
    <row r="274" spans="1:32" ht="3" customHeight="1"/>
    <row r="275" spans="1:32" s="429" customFormat="1" ht="21.75" customHeight="1">
      <c r="A275" s="146" t="s">
        <v>1998</v>
      </c>
      <c r="B275" s="1963" t="s">
        <v>3944</v>
      </c>
      <c r="C275" s="1963"/>
      <c r="D275" s="1963"/>
      <c r="E275" s="1963"/>
      <c r="F275" s="1963"/>
      <c r="G275" s="1963"/>
      <c r="H275" s="1963"/>
      <c r="I275" s="1963"/>
      <c r="J275" s="1963"/>
      <c r="K275" s="1963"/>
      <c r="L275" s="1963"/>
      <c r="M275" s="1963"/>
      <c r="N275" s="1963"/>
      <c r="O275" s="166" t="s">
        <v>1998</v>
      </c>
      <c r="P275" s="3071" t="s">
        <v>3010</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8" t="s">
        <v>3010</v>
      </c>
      <c r="Q276" s="563"/>
      <c r="AE276" s="488"/>
      <c r="AF276" s="488"/>
    </row>
    <row r="277" spans="1:32" s="152" customFormat="1" ht="11.45" customHeight="1">
      <c r="A277" s="48" t="s">
        <v>2000</v>
      </c>
      <c r="B277" s="53" t="s">
        <v>3787</v>
      </c>
      <c r="D277" s="53"/>
      <c r="E277" s="53"/>
      <c r="F277" s="53"/>
      <c r="G277" s="53"/>
      <c r="H277" s="53"/>
      <c r="I277" s="53"/>
      <c r="J277" s="53"/>
      <c r="K277" s="53"/>
      <c r="L277" s="53"/>
      <c r="M277" s="53"/>
      <c r="O277" s="484" t="s">
        <v>2000</v>
      </c>
      <c r="P277" s="2928" t="s">
        <v>3010</v>
      </c>
      <c r="Q277" s="563"/>
      <c r="AE277" s="488"/>
      <c r="AF277" s="488"/>
    </row>
    <row r="278" spans="1:32" s="152" customFormat="1" ht="11.45" customHeight="1">
      <c r="A278" s="48" t="s">
        <v>756</v>
      </c>
      <c r="B278" s="53" t="s">
        <v>4173</v>
      </c>
      <c r="D278" s="53"/>
      <c r="E278" s="53"/>
      <c r="F278" s="53"/>
      <c r="G278" s="53"/>
      <c r="H278" s="53"/>
      <c r="I278" s="53"/>
      <c r="J278" s="53"/>
      <c r="K278" s="53"/>
      <c r="L278" s="53"/>
      <c r="M278" s="53"/>
      <c r="O278" s="484" t="s">
        <v>756</v>
      </c>
      <c r="P278" s="2929" t="s">
        <v>3010</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8" t="s">
        <v>3010</v>
      </c>
      <c r="Q279" s="563"/>
      <c r="AE279" s="488"/>
      <c r="AF279" s="488"/>
    </row>
    <row r="280" spans="1:32" s="152" customFormat="1" ht="11.45" customHeight="1">
      <c r="A280" s="48" t="s">
        <v>2130</v>
      </c>
      <c r="B280" s="53" t="s">
        <v>4174</v>
      </c>
      <c r="D280" s="53"/>
      <c r="E280" s="53"/>
      <c r="F280" s="53"/>
      <c r="G280" s="53"/>
      <c r="H280" s="53"/>
      <c r="I280" s="53"/>
      <c r="J280" s="53"/>
      <c r="K280" s="53"/>
      <c r="L280" s="53"/>
      <c r="M280" s="53"/>
      <c r="O280" s="484" t="s">
        <v>2130</v>
      </c>
      <c r="P280" s="2928" t="s">
        <v>3010</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13.15" customHeight="1">
      <c r="A282" s="3113" t="s">
        <v>4721</v>
      </c>
      <c r="B282" s="3114"/>
      <c r="C282" s="3114"/>
      <c r="D282" s="3114"/>
      <c r="E282" s="3114"/>
      <c r="F282" s="3114"/>
      <c r="G282" s="3114"/>
      <c r="H282" s="3114"/>
      <c r="I282" s="3114"/>
      <c r="J282" s="3114"/>
      <c r="K282" s="3114"/>
      <c r="L282" s="3114"/>
      <c r="M282" s="3114"/>
      <c r="N282" s="3114"/>
      <c r="O282" s="3114"/>
      <c r="P282" s="3114"/>
      <c r="Q282" s="3115"/>
      <c r="R282" s="461" t="s">
        <v>1265</v>
      </c>
      <c r="S282" s="462"/>
      <c r="U282" s="140"/>
      <c r="V282" s="140"/>
      <c r="W282" s="140"/>
      <c r="X282" s="140"/>
      <c r="Y282" s="140"/>
      <c r="Z282" s="140"/>
      <c r="AA282" s="140"/>
      <c r="AB282" s="140"/>
      <c r="AC282" s="140"/>
      <c r="AD282" s="140"/>
      <c r="AE282" s="486"/>
    </row>
    <row r="283" spans="1:32" ht="11.25" customHeight="1">
      <c r="B283" s="141" t="s">
        <v>1879</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4155</v>
      </c>
      <c r="B285" s="1583" t="s">
        <v>2680</v>
      </c>
      <c r="C285" s="1583"/>
      <c r="D285" s="1588"/>
      <c r="E285" s="1588"/>
      <c r="F285" s="1588"/>
      <c r="G285" s="1588"/>
      <c r="H285" s="1588"/>
      <c r="I285" s="1588"/>
      <c r="J285" s="1588"/>
      <c r="K285" s="1588"/>
      <c r="L285" s="1588"/>
      <c r="M285" s="1588"/>
      <c r="O285" s="136" t="s">
        <v>1880</v>
      </c>
      <c r="P285" s="1911"/>
      <c r="Q285" s="1912"/>
    </row>
    <row r="286" spans="1:32" ht="3" customHeight="1"/>
    <row r="287" spans="1:32" s="429" customFormat="1" ht="21.75" customHeight="1">
      <c r="A287" s="146" t="s">
        <v>1998</v>
      </c>
      <c r="B287" s="1963" t="s">
        <v>2830</v>
      </c>
      <c r="C287" s="1963"/>
      <c r="D287" s="1963"/>
      <c r="E287" s="1963"/>
      <c r="F287" s="1963"/>
      <c r="G287" s="1963"/>
      <c r="H287" s="1963"/>
      <c r="I287" s="1963"/>
      <c r="J287" s="1963"/>
      <c r="K287" s="1963"/>
      <c r="L287" s="1963"/>
      <c r="M287" s="1963"/>
      <c r="N287" s="1963"/>
      <c r="O287" s="166" t="s">
        <v>1998</v>
      </c>
      <c r="P287" s="3071" t="s">
        <v>4610</v>
      </c>
      <c r="Q287" s="1261"/>
      <c r="AE287" s="489"/>
      <c r="AF287" s="489"/>
    </row>
    <row r="288" spans="1:32" s="429" customFormat="1" ht="21.75" customHeight="1">
      <c r="A288" s="146" t="s">
        <v>2000</v>
      </c>
      <c r="B288" s="1963" t="s">
        <v>2831</v>
      </c>
      <c r="C288" s="1963"/>
      <c r="D288" s="1963"/>
      <c r="E288" s="1963"/>
      <c r="F288" s="1963"/>
      <c r="G288" s="1963"/>
      <c r="H288" s="1963"/>
      <c r="I288" s="1963"/>
      <c r="J288" s="1963"/>
      <c r="K288" s="1963"/>
      <c r="L288" s="1963"/>
      <c r="M288" s="1963"/>
      <c r="N288" s="1963"/>
      <c r="O288" s="166" t="s">
        <v>2000</v>
      </c>
      <c r="P288" s="3094" t="s">
        <v>4610</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13.15" customHeight="1">
      <c r="A290" s="3113" t="s">
        <v>4704</v>
      </c>
      <c r="B290" s="3114"/>
      <c r="C290" s="3114"/>
      <c r="D290" s="3114"/>
      <c r="E290" s="3114"/>
      <c r="F290" s="3114"/>
      <c r="G290" s="3114"/>
      <c r="H290" s="3114"/>
      <c r="I290" s="3114"/>
      <c r="J290" s="3114"/>
      <c r="K290" s="3114"/>
      <c r="L290" s="3114"/>
      <c r="M290" s="3114"/>
      <c r="N290" s="3114"/>
      <c r="O290" s="3114"/>
      <c r="P290" s="3114"/>
      <c r="Q290" s="3115"/>
      <c r="R290" s="461" t="s">
        <v>1265</v>
      </c>
      <c r="S290" s="462"/>
      <c r="U290" s="140"/>
      <c r="V290" s="140"/>
      <c r="W290" s="140"/>
      <c r="X290" s="140"/>
      <c r="Y290" s="140"/>
      <c r="Z290" s="140"/>
      <c r="AA290" s="140"/>
      <c r="AB290" s="140"/>
      <c r="AC290" s="140"/>
      <c r="AD290" s="140"/>
      <c r="AE290" s="486"/>
    </row>
    <row r="291" spans="1:33" ht="11.25" customHeight="1">
      <c r="B291" s="141" t="s">
        <v>1879</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4156</v>
      </c>
      <c r="B293" s="1583" t="s">
        <v>2681</v>
      </c>
      <c r="C293" s="153"/>
      <c r="D293" s="1590"/>
      <c r="E293" s="1588"/>
      <c r="F293" s="1588"/>
      <c r="G293" s="1588"/>
      <c r="H293" s="1588"/>
      <c r="I293" s="1588"/>
      <c r="J293" s="1588"/>
      <c r="K293" s="1588"/>
      <c r="L293" s="1588"/>
      <c r="M293" s="1588"/>
      <c r="O293" s="136" t="s">
        <v>1880</v>
      </c>
      <c r="P293" s="1911"/>
      <c r="Q293" s="1912"/>
    </row>
    <row r="294" spans="1:33" ht="12.75" customHeight="1">
      <c r="A294" s="15" t="s">
        <v>1998</v>
      </c>
      <c r="B294" s="1583" t="s">
        <v>4175</v>
      </c>
    </row>
    <row r="295" spans="1:33" s="152" customFormat="1" ht="44.25" customHeight="1">
      <c r="A295" s="146"/>
      <c r="B295" s="154" t="s">
        <v>1749</v>
      </c>
      <c r="C295" s="1963" t="s">
        <v>3946</v>
      </c>
      <c r="D295" s="1963"/>
      <c r="E295" s="1963"/>
      <c r="F295" s="1963"/>
      <c r="G295" s="1963"/>
      <c r="H295" s="1963"/>
      <c r="I295" s="1963"/>
      <c r="J295" s="1963"/>
      <c r="K295" s="1963"/>
      <c r="L295" s="1963"/>
      <c r="M295" s="1963"/>
      <c r="N295" s="1963"/>
      <c r="O295" s="166" t="s">
        <v>2743</v>
      </c>
      <c r="P295" s="3071" t="s">
        <v>3010</v>
      </c>
      <c r="Q295" s="1261"/>
      <c r="AE295" s="488"/>
      <c r="AF295" s="488"/>
    </row>
    <row r="296" spans="1:33" s="429" customFormat="1" ht="12" customHeight="1">
      <c r="A296" s="146"/>
      <c r="B296" s="154" t="s">
        <v>1750</v>
      </c>
      <c r="C296" s="1963" t="s">
        <v>3947</v>
      </c>
      <c r="D296" s="1963"/>
      <c r="E296" s="1963"/>
      <c r="F296" s="1963"/>
      <c r="G296" s="1963"/>
      <c r="H296" s="1963"/>
      <c r="I296" s="1963"/>
      <c r="J296" s="1963"/>
      <c r="K296" s="1963"/>
      <c r="L296" s="1963"/>
      <c r="M296" s="1963"/>
      <c r="N296" s="1963"/>
      <c r="O296" s="154" t="s">
        <v>1750</v>
      </c>
      <c r="P296" s="3147" t="s">
        <v>3010</v>
      </c>
      <c r="Q296" s="564"/>
      <c r="AE296" s="489"/>
      <c r="AF296" s="489"/>
    </row>
    <row r="297" spans="1:33" s="429" customFormat="1" ht="21.75" customHeight="1">
      <c r="A297" s="146"/>
      <c r="B297" s="166" t="s">
        <v>1751</v>
      </c>
      <c r="C297" s="1963" t="s">
        <v>3945</v>
      </c>
      <c r="D297" s="1963"/>
      <c r="E297" s="1963"/>
      <c r="F297" s="1963"/>
      <c r="G297" s="1963"/>
      <c r="H297" s="1963"/>
      <c r="I297" s="1963"/>
      <c r="J297" s="1963"/>
      <c r="K297" s="1963"/>
      <c r="L297" s="1963"/>
      <c r="M297" s="1963"/>
      <c r="N297" s="1963"/>
      <c r="O297" s="166" t="s">
        <v>1751</v>
      </c>
      <c r="P297" s="3094"/>
      <c r="Q297" s="1282"/>
      <c r="AE297" s="489"/>
      <c r="AF297" s="489"/>
    </row>
    <row r="298" spans="1:33" s="97" customFormat="1" ht="12.75" customHeight="1">
      <c r="A298" s="15" t="s">
        <v>2000</v>
      </c>
      <c r="B298" s="1583"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1749</v>
      </c>
      <c r="C299" s="1963" t="s">
        <v>3780</v>
      </c>
      <c r="D299" s="1963"/>
      <c r="E299" s="1963"/>
      <c r="F299" s="1963"/>
      <c r="G299" s="1963"/>
      <c r="H299" s="1963"/>
      <c r="I299" s="144"/>
      <c r="J299" s="2001" t="s">
        <v>3825</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3824</v>
      </c>
      <c r="P300" s="315"/>
    </row>
    <row r="301" spans="1:33" s="305" customFormat="1" ht="13.15" customHeight="1">
      <c r="A301" s="317"/>
      <c r="C301" s="1963"/>
      <c r="D301" s="1963"/>
      <c r="E301" s="1963"/>
      <c r="F301" s="1963"/>
      <c r="G301" s="1963"/>
      <c r="H301" s="1963"/>
      <c r="I301" s="53" t="s">
        <v>4176</v>
      </c>
      <c r="K301" s="3179">
        <v>3</v>
      </c>
      <c r="L301" s="1086" t="str">
        <f>IF(K301&lt;M301,"Check!!!","")</f>
        <v/>
      </c>
      <c r="M301" s="1087">
        <f>ROUNDUP('Part VI-Revenues &amp; Expenses'!$O$62*'Part VIII-Threshold Criteria'!N301,0)</f>
        <v>3</v>
      </c>
      <c r="N301" s="1092">
        <f>'DCA Underwriting Assumptions'!$Q$136</f>
        <v>0.05</v>
      </c>
      <c r="O301" s="484" t="s">
        <v>3665</v>
      </c>
      <c r="P301" s="2999"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4177</v>
      </c>
      <c r="J303" s="305"/>
      <c r="K303" s="3179">
        <v>2</v>
      </c>
      <c r="L303" s="1086" t="str">
        <f>IF(K303&lt;M303,"Check!!!","")</f>
        <v/>
      </c>
      <c r="M303" s="1087">
        <f>ROUNDUP(K301*'Part VIII-Threshold Criteria'!N303,0)</f>
        <v>2</v>
      </c>
      <c r="N303" s="1092">
        <f>'DCA Underwriting Assumptions'!$Q$137</f>
        <v>0.4</v>
      </c>
      <c r="O303" s="484" t="s">
        <v>2132</v>
      </c>
      <c r="P303" s="2999"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1750</v>
      </c>
      <c r="C305" s="1963" t="s">
        <v>3782</v>
      </c>
      <c r="D305" s="1963"/>
      <c r="E305" s="1963"/>
      <c r="F305" s="1963"/>
      <c r="G305" s="1963"/>
      <c r="H305" s="1963"/>
      <c r="I305" s="53" t="s">
        <v>4178</v>
      </c>
      <c r="J305" s="305"/>
      <c r="K305" s="3179">
        <v>1</v>
      </c>
      <c r="L305" s="1086" t="str">
        <f>IF(K305&lt;M305,"Check!!!","")</f>
        <v/>
      </c>
      <c r="M305" s="1087">
        <f>ROUNDUP('Part VI-Revenues &amp; Expenses'!$O$62*'Part VIII-Threshold Criteria'!N305,0)</f>
        <v>1</v>
      </c>
      <c r="N305" s="1092">
        <f>'DCA Underwriting Assumptions'!$Q$138</f>
        <v>0.02</v>
      </c>
      <c r="O305" s="484" t="s">
        <v>1750</v>
      </c>
      <c r="P305" s="2999"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756</v>
      </c>
      <c r="B308" s="1583" t="s">
        <v>3912</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756</v>
      </c>
      <c r="P309" s="3067" t="s">
        <v>3010</v>
      </c>
      <c r="Q309" s="1262"/>
      <c r="AE309" s="490"/>
      <c r="AF309" s="490"/>
    </row>
    <row r="310" spans="1:33" s="97" customFormat="1" ht="11.25" customHeight="1">
      <c r="B310" s="405" t="s">
        <v>3668</v>
      </c>
      <c r="D310" s="405"/>
      <c r="E310" s="405"/>
      <c r="F310" s="405"/>
      <c r="G310" s="405"/>
      <c r="H310" s="405"/>
      <c r="I310" s="405" t="s">
        <v>3792</v>
      </c>
      <c r="J310" s="405"/>
      <c r="K310" s="405"/>
      <c r="L310" s="3180" t="s">
        <v>4612</v>
      </c>
      <c r="M310" s="3181"/>
      <c r="N310" s="3182"/>
      <c r="O310" s="405"/>
      <c r="P310" s="405"/>
      <c r="Q310" s="405"/>
      <c r="R310" s="405"/>
      <c r="AE310" s="490"/>
      <c r="AF310" s="490"/>
    </row>
    <row r="311" spans="1:33" s="429" customFormat="1" ht="44.25" customHeight="1">
      <c r="B311" s="154" t="s">
        <v>1749</v>
      </c>
      <c r="C311" s="1963" t="s">
        <v>3666</v>
      </c>
      <c r="D311" s="1963"/>
      <c r="E311" s="1963"/>
      <c r="F311" s="1963"/>
      <c r="G311" s="1963"/>
      <c r="H311" s="1963"/>
      <c r="I311" s="1963"/>
      <c r="J311" s="1963"/>
      <c r="K311" s="1963"/>
      <c r="L311" s="1963"/>
      <c r="M311" s="1963"/>
      <c r="N311" s="1963"/>
      <c r="O311" s="166" t="s">
        <v>3671</v>
      </c>
      <c r="P311" s="3071" t="s">
        <v>3010</v>
      </c>
      <c r="Q311" s="1261"/>
      <c r="AE311" s="489"/>
      <c r="AF311" s="489"/>
    </row>
    <row r="312" spans="1:33" s="429" customFormat="1" ht="11.25" customHeight="1">
      <c r="B312" s="154" t="s">
        <v>1750</v>
      </c>
      <c r="C312" s="1963" t="s">
        <v>3711</v>
      </c>
      <c r="D312" s="1963"/>
      <c r="E312" s="1963"/>
      <c r="F312" s="1963"/>
      <c r="G312" s="1963"/>
      <c r="H312" s="1963"/>
      <c r="I312" s="1963"/>
      <c r="J312" s="1963"/>
      <c r="K312" s="1963"/>
      <c r="L312" s="1963"/>
      <c r="M312" s="1963"/>
      <c r="N312" s="1963"/>
      <c r="O312" s="166" t="s">
        <v>3672</v>
      </c>
      <c r="P312" s="3147" t="s">
        <v>3010</v>
      </c>
      <c r="Q312" s="564"/>
      <c r="AE312" s="489"/>
      <c r="AF312" s="489"/>
    </row>
    <row r="313" spans="1:33" s="429" customFormat="1" ht="34.5" customHeight="1">
      <c r="B313" s="166" t="s">
        <v>1751</v>
      </c>
      <c r="C313" s="1963" t="s">
        <v>3669</v>
      </c>
      <c r="D313" s="1963"/>
      <c r="E313" s="1963"/>
      <c r="F313" s="1963"/>
      <c r="G313" s="1963"/>
      <c r="H313" s="1963"/>
      <c r="I313" s="1963"/>
      <c r="J313" s="1963"/>
      <c r="K313" s="1963"/>
      <c r="L313" s="1963"/>
      <c r="M313" s="1963"/>
      <c r="N313" s="1963"/>
      <c r="O313" s="166" t="s">
        <v>3673</v>
      </c>
      <c r="P313" s="3147" t="s">
        <v>3010</v>
      </c>
      <c r="Q313" s="564"/>
      <c r="AE313" s="489"/>
      <c r="AF313" s="489"/>
    </row>
    <row r="314" spans="1:33" s="429" customFormat="1" ht="32.25" customHeight="1">
      <c r="B314" s="166" t="s">
        <v>2380</v>
      </c>
      <c r="C314" s="1963" t="s">
        <v>3670</v>
      </c>
      <c r="D314" s="1963"/>
      <c r="E314" s="1963"/>
      <c r="F314" s="1963"/>
      <c r="G314" s="1963"/>
      <c r="H314" s="1963"/>
      <c r="I314" s="1963"/>
      <c r="J314" s="1963"/>
      <c r="K314" s="1963"/>
      <c r="L314" s="1963"/>
      <c r="M314" s="1963"/>
      <c r="N314" s="1963"/>
      <c r="O314" s="166" t="s">
        <v>3674</v>
      </c>
      <c r="P314" s="3094" t="s">
        <v>3010</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32.25" customHeight="1">
      <c r="A316" s="3113" t="s">
        <v>4613</v>
      </c>
      <c r="B316" s="3114"/>
      <c r="C316" s="3114"/>
      <c r="D316" s="3114"/>
      <c r="E316" s="3114"/>
      <c r="F316" s="3114"/>
      <c r="G316" s="3114"/>
      <c r="H316" s="3114"/>
      <c r="I316" s="3114"/>
      <c r="J316" s="3114"/>
      <c r="K316" s="3114"/>
      <c r="L316" s="3114"/>
      <c r="M316" s="3114"/>
      <c r="N316" s="3114"/>
      <c r="O316" s="3114"/>
      <c r="P316" s="3114"/>
      <c r="Q316" s="3115"/>
      <c r="R316" s="461" t="s">
        <v>1265</v>
      </c>
      <c r="S316" s="462"/>
      <c r="U316" s="140"/>
      <c r="V316" s="140"/>
      <c r="W316" s="140"/>
      <c r="X316" s="140"/>
      <c r="Y316" s="140"/>
      <c r="Z316" s="140"/>
      <c r="AA316" s="140"/>
      <c r="AB316" s="140"/>
      <c r="AC316" s="140"/>
      <c r="AD316" s="140"/>
      <c r="AE316" s="486"/>
    </row>
    <row r="317" spans="1:33" ht="11.25" customHeight="1">
      <c r="B317" s="141" t="s">
        <v>1879</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4154</v>
      </c>
      <c r="B319" s="10" t="s">
        <v>2682</v>
      </c>
      <c r="C319" s="10"/>
      <c r="D319" s="10"/>
      <c r="E319" s="10"/>
      <c r="F319" s="10"/>
      <c r="G319" s="10"/>
      <c r="H319" s="1588"/>
      <c r="I319" s="1588"/>
      <c r="J319" s="1588"/>
      <c r="K319" s="1588"/>
      <c r="L319" s="1588"/>
      <c r="M319" s="1588"/>
      <c r="O319" s="136" t="s">
        <v>1880</v>
      </c>
      <c r="P319" s="1983"/>
      <c r="Q319" s="1984"/>
    </row>
    <row r="320" spans="1:33" ht="11.45" customHeight="1">
      <c r="B320" s="149" t="s">
        <v>2267</v>
      </c>
      <c r="P320" s="2929" t="s">
        <v>3010</v>
      </c>
      <c r="Q320" s="561"/>
    </row>
    <row r="321" spans="1:256 1523:1523" ht="12" customHeight="1">
      <c r="B321" s="932" t="s">
        <v>2226</v>
      </c>
      <c r="C321" s="932"/>
      <c r="D321" s="932"/>
      <c r="E321" s="932"/>
      <c r="F321" s="932"/>
      <c r="G321" s="932"/>
      <c r="H321" s="932"/>
      <c r="I321" s="932"/>
      <c r="J321" s="932"/>
      <c r="K321" s="932"/>
      <c r="L321" s="932"/>
      <c r="P321" s="2928" t="s">
        <v>3010</v>
      </c>
      <c r="Q321" s="563"/>
    </row>
    <row r="322" spans="1:256 1523:1523" ht="11.45" customHeight="1">
      <c r="A322" s="146" t="s">
        <v>1998</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1998</v>
      </c>
      <c r="P323" s="3183" t="s">
        <v>3010</v>
      </c>
      <c r="Q323" s="567"/>
    </row>
    <row r="324" spans="1:256 1523:1523" ht="12.6" customHeight="1">
      <c r="A324" s="146" t="s">
        <v>2000</v>
      </c>
      <c r="B324" s="222" t="s">
        <v>464</v>
      </c>
      <c r="D324" s="222"/>
      <c r="E324" s="222"/>
      <c r="F324" s="222"/>
      <c r="G324" s="222"/>
      <c r="H324" s="222"/>
      <c r="I324" s="222"/>
      <c r="J324" s="222"/>
      <c r="K324" s="222"/>
      <c r="L324" s="222"/>
      <c r="M324" s="222"/>
      <c r="O324" s="166" t="s">
        <v>2000</v>
      </c>
      <c r="P324" s="1586"/>
      <c r="Q324" s="955"/>
    </row>
    <row r="325" spans="1:256 1523:1523" ht="34.5" customHeight="1">
      <c r="B325" s="220" t="s">
        <v>1749</v>
      </c>
      <c r="C325" s="221" t="s">
        <v>1140</v>
      </c>
      <c r="E325" s="137"/>
      <c r="F325" s="137"/>
      <c r="G325" s="3184" t="s">
        <v>3949</v>
      </c>
      <c r="H325" s="3185"/>
      <c r="I325" s="3185"/>
      <c r="J325" s="3185"/>
      <c r="K325" s="3185"/>
      <c r="L325" s="3185"/>
      <c r="M325" s="3185"/>
      <c r="N325" s="3186"/>
      <c r="O325" s="224" t="s">
        <v>1749</v>
      </c>
      <c r="P325" s="3071" t="s">
        <v>3010</v>
      </c>
      <c r="Q325" s="1261"/>
      <c r="BFO325" s="152" t="s">
        <v>2744</v>
      </c>
    </row>
    <row r="326" spans="1:256 1523:1523" ht="23.25" customHeight="1">
      <c r="B326" s="220" t="s">
        <v>1750</v>
      </c>
      <c r="C326" s="1963" t="s">
        <v>1141</v>
      </c>
      <c r="D326" s="1963"/>
      <c r="E326" s="1963"/>
      <c r="F326" s="2004"/>
      <c r="G326" s="3172" t="s">
        <v>3795</v>
      </c>
      <c r="H326" s="3187"/>
      <c r="I326" s="3187"/>
      <c r="J326" s="3187"/>
      <c r="K326" s="3187"/>
      <c r="L326" s="3187"/>
      <c r="M326" s="3187"/>
      <c r="N326" s="3188"/>
      <c r="O326" s="224" t="s">
        <v>1750</v>
      </c>
      <c r="P326" s="3094"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756</v>
      </c>
      <c r="B328" s="2005" t="s">
        <v>2688</v>
      </c>
      <c r="C328" s="2005"/>
      <c r="D328" s="2005"/>
      <c r="E328" s="2005"/>
      <c r="F328" s="2005"/>
      <c r="G328" s="2005"/>
      <c r="H328" s="2005"/>
      <c r="I328" s="2005"/>
      <c r="J328" s="2005"/>
      <c r="K328" s="2005"/>
      <c r="L328" s="2005"/>
      <c r="M328" s="2005"/>
      <c r="N328" s="2005"/>
      <c r="O328" s="459" t="s">
        <v>756</v>
      </c>
      <c r="P328" s="1586"/>
      <c r="Q328" s="955"/>
      <c r="AE328" s="487"/>
      <c r="AF328" s="487"/>
    </row>
    <row r="329" spans="1:256 1523:1523" s="137" customFormat="1" ht="11.25" customHeight="1">
      <c r="A329" s="148"/>
      <c r="B329" s="220" t="s">
        <v>1749</v>
      </c>
      <c r="C329" s="3169"/>
      <c r="D329" s="3170"/>
      <c r="E329" s="3170"/>
      <c r="F329" s="3170"/>
      <c r="G329" s="3170"/>
      <c r="H329" s="3170"/>
      <c r="I329" s="3170"/>
      <c r="J329" s="3170"/>
      <c r="K329" s="3170"/>
      <c r="L329" s="3170"/>
      <c r="M329" s="3170"/>
      <c r="N329" s="3171"/>
      <c r="O329" s="224" t="s">
        <v>1749</v>
      </c>
      <c r="P329" s="3071" t="s">
        <v>3013</v>
      </c>
      <c r="Q329" s="1261"/>
      <c r="AE329" s="487"/>
      <c r="AF329" s="487"/>
    </row>
    <row r="330" spans="1:256 1523:1523" s="137" customFormat="1" ht="11.25" customHeight="1">
      <c r="A330" s="148"/>
      <c r="B330" s="220" t="s">
        <v>1750</v>
      </c>
      <c r="C330" s="3172"/>
      <c r="D330" s="3173"/>
      <c r="E330" s="3173"/>
      <c r="F330" s="3173"/>
      <c r="G330" s="3173"/>
      <c r="H330" s="3173"/>
      <c r="I330" s="3173"/>
      <c r="J330" s="3173"/>
      <c r="K330" s="3173"/>
      <c r="L330" s="3173"/>
      <c r="M330" s="3173"/>
      <c r="N330" s="3174"/>
      <c r="O330" s="224" t="s">
        <v>1750</v>
      </c>
      <c r="P330" s="3094" t="s">
        <v>3013</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11.45" customHeight="1">
      <c r="A333" s="3113" t="s">
        <v>4705</v>
      </c>
      <c r="B333" s="3114"/>
      <c r="C333" s="3114"/>
      <c r="D333" s="3114"/>
      <c r="E333" s="3114"/>
      <c r="F333" s="3114"/>
      <c r="G333" s="3114"/>
      <c r="H333" s="3114"/>
      <c r="I333" s="3114"/>
      <c r="J333" s="3114"/>
      <c r="K333" s="3114"/>
      <c r="L333" s="3114"/>
      <c r="M333" s="3114"/>
      <c r="N333" s="3114"/>
      <c r="O333" s="3114"/>
      <c r="P333" s="3114"/>
      <c r="Q333" s="3115"/>
      <c r="R333" s="485" t="s">
        <v>1265</v>
      </c>
      <c r="S333" s="125"/>
      <c r="U333" s="140"/>
      <c r="V333" s="140"/>
      <c r="W333" s="140"/>
      <c r="X333" s="140"/>
      <c r="Y333" s="140"/>
      <c r="Z333" s="140"/>
      <c r="AA333" s="140"/>
      <c r="AB333" s="140"/>
      <c r="AC333" s="140"/>
      <c r="AD333" s="140"/>
      <c r="AE333" s="486"/>
    </row>
    <row r="334" spans="1:256 1523:1523" ht="11.25" customHeight="1">
      <c r="B334" s="141" t="s">
        <v>1879</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4157</v>
      </c>
      <c r="B336" s="1583" t="s">
        <v>4196</v>
      </c>
      <c r="C336" s="1583"/>
      <c r="D336" s="1588"/>
      <c r="E336" s="1588"/>
      <c r="F336" s="1588"/>
      <c r="G336" s="1588"/>
      <c r="H336" s="1588"/>
      <c r="O336" s="136" t="s">
        <v>1880</v>
      </c>
      <c r="P336" s="1911"/>
      <c r="Q336" s="1912"/>
    </row>
    <row r="337" spans="1:31" ht="11.45" customHeight="1">
      <c r="A337" s="48" t="s">
        <v>1998</v>
      </c>
      <c r="B337" s="56" t="s">
        <v>3951</v>
      </c>
      <c r="O337" s="166" t="s">
        <v>1998</v>
      </c>
      <c r="P337" s="2999" t="s">
        <v>3010</v>
      </c>
      <c r="Q337" s="560"/>
    </row>
    <row r="338" spans="1:31" ht="11.45" customHeight="1">
      <c r="A338" s="146" t="s">
        <v>2000</v>
      </c>
      <c r="B338" s="56" t="s">
        <v>4141</v>
      </c>
      <c r="O338" s="166" t="s">
        <v>2000</v>
      </c>
      <c r="P338" s="2929" t="s">
        <v>3010</v>
      </c>
      <c r="Q338" s="561"/>
    </row>
    <row r="339" spans="1:31" ht="11.45" customHeight="1">
      <c r="A339" s="146" t="s">
        <v>756</v>
      </c>
      <c r="B339" s="149" t="s">
        <v>2365</v>
      </c>
      <c r="O339" s="166" t="s">
        <v>756</v>
      </c>
      <c r="P339" s="2935" t="s">
        <v>3013</v>
      </c>
      <c r="Q339" s="562"/>
    </row>
    <row r="340" spans="1:31" ht="11.45" customHeight="1">
      <c r="A340" s="48" t="s">
        <v>2130</v>
      </c>
      <c r="B340" s="56" t="s">
        <v>3874</v>
      </c>
      <c r="O340" s="484" t="s">
        <v>2130</v>
      </c>
      <c r="P340" s="2928" t="s">
        <v>3013</v>
      </c>
      <c r="Q340" s="563"/>
    </row>
    <row r="341" spans="1:31" ht="11.45" customHeight="1">
      <c r="A341" s="146" t="s">
        <v>1747</v>
      </c>
      <c r="B341" s="56" t="s">
        <v>2902</v>
      </c>
      <c r="N341" s="166" t="s">
        <v>1747</v>
      </c>
      <c r="O341" s="3189" t="s">
        <v>3868</v>
      </c>
      <c r="P341" s="3190"/>
      <c r="Q341" s="3191"/>
    </row>
    <row r="342" spans="1:31" ht="11.45" customHeight="1">
      <c r="A342" s="146" t="s">
        <v>1748</v>
      </c>
      <c r="B342" s="425" t="s">
        <v>2366</v>
      </c>
      <c r="N342" s="166" t="s">
        <v>1748</v>
      </c>
      <c r="O342" s="1977" t="s">
        <v>2903</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13.15" customHeight="1">
      <c r="A344" s="3113" t="s">
        <v>4614</v>
      </c>
      <c r="B344" s="3114"/>
      <c r="C344" s="3114"/>
      <c r="D344" s="3114"/>
      <c r="E344" s="3114"/>
      <c r="F344" s="3114"/>
      <c r="G344" s="3114"/>
      <c r="H344" s="3114"/>
      <c r="I344" s="3114"/>
      <c r="J344" s="3114"/>
      <c r="K344" s="3114"/>
      <c r="L344" s="3114"/>
      <c r="M344" s="3114"/>
      <c r="N344" s="3114"/>
      <c r="O344" s="3114"/>
      <c r="P344" s="3114"/>
      <c r="Q344" s="3115"/>
      <c r="R344" s="461" t="s">
        <v>1265</v>
      </c>
      <c r="S344" s="462"/>
      <c r="U344" s="140"/>
      <c r="V344" s="140"/>
      <c r="W344" s="140"/>
      <c r="X344" s="140"/>
      <c r="Y344" s="140"/>
      <c r="Z344" s="140"/>
      <c r="AA344" s="140"/>
      <c r="AB344" s="140"/>
      <c r="AC344" s="140"/>
      <c r="AD344" s="140"/>
      <c r="AE344" s="486"/>
    </row>
    <row r="345" spans="1:31" ht="11.25" customHeight="1">
      <c r="B345" s="141" t="s">
        <v>1879</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4158</v>
      </c>
      <c r="B347" s="4" t="s">
        <v>2683</v>
      </c>
      <c r="C347" s="4"/>
      <c r="D347" s="89"/>
      <c r="E347" s="1588"/>
      <c r="F347" s="1588"/>
      <c r="G347" s="1588"/>
      <c r="H347" s="1588"/>
      <c r="I347" s="1588"/>
      <c r="J347" s="1588"/>
      <c r="K347" s="1588"/>
      <c r="L347" s="1588"/>
      <c r="M347" s="1588"/>
      <c r="O347" s="136" t="s">
        <v>1880</v>
      </c>
      <c r="P347" s="1911"/>
      <c r="Q347" s="1912"/>
    </row>
    <row r="348" spans="1:31" ht="12.75" customHeight="1">
      <c r="A348" s="146" t="s">
        <v>1998</v>
      </c>
      <c r="B348" s="144" t="s">
        <v>3683</v>
      </c>
      <c r="D348" s="144"/>
      <c r="E348" s="144"/>
      <c r="F348" s="144"/>
      <c r="G348" s="144"/>
      <c r="H348" s="144"/>
      <c r="I348" s="144"/>
      <c r="J348" s="144"/>
      <c r="K348" s="144"/>
      <c r="L348" s="144"/>
      <c r="M348" s="144"/>
      <c r="N348" s="144"/>
      <c r="O348" s="166" t="s">
        <v>1998</v>
      </c>
      <c r="P348" s="2929" t="s">
        <v>3010</v>
      </c>
      <c r="Q348" s="561"/>
    </row>
    <row r="349" spans="1:31" ht="12.75" customHeight="1">
      <c r="A349" s="146" t="s">
        <v>2000</v>
      </c>
      <c r="B349" s="144" t="s">
        <v>3883</v>
      </c>
      <c r="D349" s="144"/>
      <c r="E349" s="144"/>
      <c r="F349" s="144"/>
      <c r="G349" s="144"/>
      <c r="H349" s="144"/>
      <c r="I349" s="144"/>
      <c r="J349" s="144"/>
      <c r="K349" s="144"/>
      <c r="L349" s="144"/>
      <c r="M349" s="144"/>
      <c r="N349" s="144"/>
      <c r="O349" s="166" t="s">
        <v>2000</v>
      </c>
      <c r="P349" s="2935" t="s">
        <v>3013</v>
      </c>
      <c r="Q349" s="562"/>
    </row>
    <row r="350" spans="1:31" ht="22.5" customHeight="1">
      <c r="A350" s="146" t="s">
        <v>756</v>
      </c>
      <c r="B350" s="1963" t="s">
        <v>4142</v>
      </c>
      <c r="C350" s="1963"/>
      <c r="D350" s="1963"/>
      <c r="E350" s="1963"/>
      <c r="F350" s="1963"/>
      <c r="G350" s="1963"/>
      <c r="H350" s="1963"/>
      <c r="I350" s="1963"/>
      <c r="J350" s="1963"/>
      <c r="K350" s="1963"/>
      <c r="L350" s="1963"/>
      <c r="M350" s="1963"/>
      <c r="N350" s="1963"/>
      <c r="O350" s="166" t="s">
        <v>756</v>
      </c>
      <c r="P350" s="2928" t="s">
        <v>3010</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11.45" customHeight="1">
      <c r="A352" s="3113" t="s">
        <v>4615</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1879</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4128</v>
      </c>
      <c r="C356" s="4"/>
      <c r="D356" s="4"/>
      <c r="E356" s="4"/>
      <c r="F356" s="4"/>
      <c r="G356" s="4"/>
      <c r="H356" s="1588"/>
      <c r="I356" s="1588"/>
      <c r="J356" s="1588"/>
      <c r="K356" s="1588"/>
      <c r="L356" s="1588"/>
      <c r="M356" s="1588"/>
      <c r="O356" s="136" t="s">
        <v>1880</v>
      </c>
      <c r="P356" s="1985"/>
      <c r="Q356" s="1912"/>
    </row>
    <row r="357" spans="1:32" ht="10.5" customHeight="1">
      <c r="A357" s="48" t="s">
        <v>1998</v>
      </c>
      <c r="B357" s="139" t="s">
        <v>4129</v>
      </c>
      <c r="D357" s="155"/>
      <c r="E357" s="155"/>
      <c r="F357" s="155"/>
      <c r="G357" s="155"/>
      <c r="H357" s="484" t="s">
        <v>1998</v>
      </c>
      <c r="I357" s="3128" t="s">
        <v>3187</v>
      </c>
      <c r="J357" s="3129"/>
      <c r="K357" s="3129"/>
      <c r="L357" s="3129"/>
      <c r="M357" s="3129"/>
      <c r="N357" s="3129"/>
      <c r="O357" s="3129"/>
      <c r="P357" s="3130"/>
      <c r="Q357" s="559"/>
    </row>
    <row r="358" spans="1:32" ht="10.5" customHeight="1">
      <c r="A358" s="146" t="s">
        <v>2000</v>
      </c>
      <c r="B358" s="139" t="s">
        <v>4130</v>
      </c>
      <c r="D358" s="155"/>
      <c r="E358" s="155"/>
      <c r="F358" s="155"/>
      <c r="G358" s="155"/>
      <c r="H358" s="166" t="s">
        <v>2000</v>
      </c>
      <c r="I358" s="3128"/>
      <c r="J358" s="3129"/>
      <c r="K358" s="3129"/>
      <c r="L358" s="3129"/>
      <c r="M358" s="3129"/>
      <c r="N358" s="3129"/>
      <c r="O358" s="3129"/>
      <c r="P358" s="3130"/>
      <c r="Q358" s="559"/>
    </row>
    <row r="359" spans="1:32" ht="21.75" customHeight="1">
      <c r="A359" s="146" t="s">
        <v>756</v>
      </c>
      <c r="B359" s="1987" t="s">
        <v>4120</v>
      </c>
      <c r="C359" s="1987"/>
      <c r="D359" s="1987"/>
      <c r="E359" s="1987"/>
      <c r="F359" s="1987"/>
      <c r="G359" s="1987"/>
      <c r="H359" s="1987"/>
      <c r="I359" s="1987"/>
      <c r="J359" s="1987"/>
      <c r="K359" s="1987"/>
      <c r="L359" s="1987"/>
      <c r="M359" s="1987"/>
      <c r="N359" s="1987"/>
      <c r="O359" s="166" t="s">
        <v>756</v>
      </c>
      <c r="P359" s="3102"/>
      <c r="Q359" s="1261"/>
    </row>
    <row r="360" spans="1:32" ht="21.75" customHeight="1">
      <c r="A360" s="146" t="s">
        <v>2130</v>
      </c>
      <c r="B360" s="1963" t="s">
        <v>4121</v>
      </c>
      <c r="C360" s="1963"/>
      <c r="D360" s="1963"/>
      <c r="E360" s="1963"/>
      <c r="F360" s="1963"/>
      <c r="G360" s="1963"/>
      <c r="H360" s="1963"/>
      <c r="I360" s="1963"/>
      <c r="J360" s="1963"/>
      <c r="K360" s="1963"/>
      <c r="L360" s="1963"/>
      <c r="M360" s="1963"/>
      <c r="N360" s="1963"/>
      <c r="O360" s="484" t="s">
        <v>2130</v>
      </c>
      <c r="P360" s="3147"/>
      <c r="Q360" s="564"/>
    </row>
    <row r="361" spans="1:32" ht="10.5" customHeight="1">
      <c r="A361" s="146" t="s">
        <v>1747</v>
      </c>
      <c r="B361" s="53" t="s">
        <v>4122</v>
      </c>
      <c r="D361" s="53"/>
      <c r="E361" s="53"/>
      <c r="F361" s="53"/>
      <c r="G361" s="53"/>
      <c r="H361" s="53"/>
      <c r="I361" s="53"/>
      <c r="J361" s="53"/>
      <c r="K361" s="53"/>
      <c r="L361" s="53"/>
      <c r="M361" s="53"/>
      <c r="O361" s="166" t="s">
        <v>1747</v>
      </c>
      <c r="P361" s="2935"/>
      <c r="Q361" s="562"/>
    </row>
    <row r="362" spans="1:32" s="137" customFormat="1" ht="21.75" customHeight="1">
      <c r="A362" s="146" t="s">
        <v>1748</v>
      </c>
      <c r="B362" s="1963" t="s">
        <v>4123</v>
      </c>
      <c r="C362" s="1963"/>
      <c r="D362" s="1963"/>
      <c r="E362" s="1963"/>
      <c r="F362" s="1963"/>
      <c r="G362" s="1963"/>
      <c r="H362" s="1963"/>
      <c r="I362" s="1963"/>
      <c r="J362" s="1963"/>
      <c r="K362" s="1963"/>
      <c r="L362" s="1963"/>
      <c r="M362" s="1963"/>
      <c r="N362" s="1963"/>
      <c r="O362" s="166" t="s">
        <v>1748</v>
      </c>
      <c r="P362" s="3192"/>
      <c r="Q362" s="933"/>
      <c r="AE362" s="487"/>
      <c r="AF362" s="487"/>
    </row>
    <row r="363" spans="1:32" s="137" customFormat="1" ht="10.5" customHeight="1">
      <c r="A363" s="146" t="s">
        <v>1961</v>
      </c>
      <c r="B363" s="144" t="s">
        <v>4124</v>
      </c>
      <c r="D363" s="957"/>
      <c r="E363" s="957"/>
      <c r="F363" s="957"/>
      <c r="G363" s="957"/>
      <c r="H363" s="957"/>
      <c r="I363" s="957"/>
      <c r="J363" s="957"/>
      <c r="K363" s="957"/>
      <c r="L363" s="957"/>
      <c r="M363" s="957"/>
      <c r="N363" s="957"/>
      <c r="O363" s="166" t="s">
        <v>1961</v>
      </c>
      <c r="P363" s="3071"/>
      <c r="Q363" s="1261"/>
      <c r="AE363" s="487"/>
      <c r="AF363" s="487"/>
    </row>
    <row r="364" spans="1:32" s="137" customFormat="1" ht="10.5" customHeight="1">
      <c r="C364" s="932" t="s">
        <v>3863</v>
      </c>
      <c r="E364" s="1588"/>
      <c r="F364" s="1588"/>
      <c r="G364" s="1588"/>
      <c r="H364" s="1588"/>
      <c r="I364" s="1588"/>
      <c r="J364" s="1588"/>
      <c r="K364" s="1588"/>
      <c r="L364" s="1588"/>
      <c r="M364" s="1588"/>
      <c r="N364" s="1588"/>
      <c r="P364" s="3094"/>
      <c r="Q364" s="1282"/>
      <c r="AE364" s="487"/>
      <c r="AF364" s="487"/>
    </row>
    <row r="365" spans="1:32" ht="21.75" customHeight="1">
      <c r="A365" s="146" t="s">
        <v>3391</v>
      </c>
      <c r="B365" s="1963" t="s">
        <v>4125</v>
      </c>
      <c r="C365" s="1963"/>
      <c r="D365" s="1963"/>
      <c r="E365" s="1963"/>
      <c r="F365" s="1963"/>
      <c r="G365" s="1963"/>
      <c r="H365" s="1963"/>
      <c r="I365" s="1963"/>
      <c r="J365" s="1963"/>
      <c r="K365" s="1963"/>
      <c r="L365" s="1963"/>
      <c r="M365" s="1963"/>
      <c r="N365" s="1963"/>
      <c r="O365" s="166" t="s">
        <v>3391</v>
      </c>
      <c r="P365" s="3071"/>
      <c r="Q365" s="1261"/>
    </row>
    <row r="366" spans="1:32" ht="33" customHeight="1">
      <c r="A366" s="146" t="s">
        <v>621</v>
      </c>
      <c r="B366" s="1963" t="s">
        <v>4126</v>
      </c>
      <c r="C366" s="1963"/>
      <c r="D366" s="1963"/>
      <c r="E366" s="1963"/>
      <c r="F366" s="1963"/>
      <c r="G366" s="1963"/>
      <c r="H366" s="1963"/>
      <c r="I366" s="1963"/>
      <c r="J366" s="1963"/>
      <c r="K366" s="1963"/>
      <c r="L366" s="1963"/>
      <c r="M366" s="1963"/>
      <c r="N366" s="1963"/>
      <c r="O366" s="166" t="s">
        <v>621</v>
      </c>
      <c r="P366" s="3094"/>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3" t="s">
        <v>4616</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1879</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3952</v>
      </c>
      <c r="C372" s="4"/>
      <c r="D372" s="4"/>
      <c r="E372" s="4"/>
      <c r="F372" s="4"/>
      <c r="G372" s="4"/>
      <c r="H372" s="1588"/>
      <c r="I372" s="1588"/>
      <c r="J372" s="1588"/>
      <c r="O372" s="136" t="s">
        <v>1880</v>
      </c>
      <c r="P372" s="1911"/>
      <c r="Q372" s="1912"/>
    </row>
    <row r="373" spans="1:32" s="43" customFormat="1" ht="10.5" customHeight="1">
      <c r="A373" s="48" t="s">
        <v>1998</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1749</v>
      </c>
      <c r="C374" s="1988" t="s">
        <v>4179</v>
      </c>
      <c r="D374" s="1988"/>
      <c r="E374" s="1988"/>
      <c r="F374" s="1989"/>
      <c r="G374" s="3128" t="s">
        <v>4653</v>
      </c>
      <c r="H374" s="3129"/>
      <c r="I374" s="3130"/>
      <c r="J374" s="1597" t="s">
        <v>3961</v>
      </c>
      <c r="K374" s="3128" t="s">
        <v>4673</v>
      </c>
      <c r="L374" s="3129"/>
      <c r="M374" s="3130"/>
      <c r="N374" s="1893" t="s">
        <v>3953</v>
      </c>
      <c r="O374" s="1895"/>
      <c r="P374" s="3193" t="s">
        <v>4674</v>
      </c>
      <c r="Q374" s="3194"/>
      <c r="AE374" s="51"/>
      <c r="AF374" s="51"/>
    </row>
    <row r="375" spans="1:32" s="43" customFormat="1" ht="10.5" customHeight="1">
      <c r="B375" s="37" t="s">
        <v>1750</v>
      </c>
      <c r="C375" s="53" t="s">
        <v>3955</v>
      </c>
      <c r="I375" s="484" t="s">
        <v>1750</v>
      </c>
      <c r="J375" s="3195">
        <v>35321</v>
      </c>
      <c r="K375" s="3196"/>
      <c r="AE375" s="51"/>
      <c r="AF375" s="51"/>
    </row>
    <row r="376" spans="1:32" s="43" customFormat="1" ht="10.5" customHeight="1">
      <c r="A376" s="48"/>
      <c r="B376" s="37" t="s">
        <v>1751</v>
      </c>
      <c r="C376" s="53" t="s">
        <v>3956</v>
      </c>
      <c r="D376" s="47"/>
      <c r="E376" s="138"/>
      <c r="F376" s="1992" t="str">
        <f>'Part I-Project Information'!K40</f>
        <v>Rural</v>
      </c>
      <c r="G376" s="1993"/>
      <c r="H376" s="1594" t="s">
        <v>3957</v>
      </c>
      <c r="I376" s="138"/>
      <c r="J376" s="138"/>
      <c r="K376" s="138"/>
      <c r="L376" s="138"/>
      <c r="M376" s="138"/>
      <c r="N376" s="138"/>
      <c r="O376" s="484" t="s">
        <v>1751</v>
      </c>
      <c r="P376" s="2929" t="s">
        <v>3010</v>
      </c>
      <c r="Q376" s="561"/>
      <c r="AE376" s="51"/>
      <c r="AF376" s="51"/>
    </row>
    <row r="377" spans="1:32" s="43" customFormat="1" ht="10.5" customHeight="1">
      <c r="A377" s="48"/>
      <c r="B377" s="37" t="s">
        <v>2380</v>
      </c>
      <c r="C377" s="53" t="s">
        <v>3958</v>
      </c>
      <c r="E377" s="138"/>
      <c r="F377" s="138"/>
      <c r="G377" s="138"/>
      <c r="H377" s="138"/>
      <c r="I377" s="138"/>
      <c r="J377" s="3197">
        <v>824975</v>
      </c>
      <c r="K377" s="3198"/>
      <c r="L377" s="1994"/>
      <c r="M377" s="1995"/>
      <c r="N377" s="53" t="s">
        <v>3968</v>
      </c>
      <c r="O377" s="484"/>
      <c r="P377" s="2935" t="s">
        <v>3010</v>
      </c>
      <c r="Q377" s="562"/>
      <c r="AE377" s="51"/>
      <c r="AF377" s="51"/>
    </row>
    <row r="378" spans="1:32" s="43" customFormat="1" ht="10.5" customHeight="1">
      <c r="A378" s="48"/>
      <c r="B378" s="37" t="s">
        <v>1560</v>
      </c>
      <c r="C378" s="53" t="s">
        <v>3959</v>
      </c>
      <c r="E378" s="53"/>
      <c r="F378" s="1990">
        <f>'Part IV-A-Uses of Funds'!J173</f>
        <v>295000</v>
      </c>
      <c r="G378" s="1991"/>
      <c r="H378" s="53" t="s">
        <v>3960</v>
      </c>
      <c r="I378" s="53"/>
      <c r="J378" s="1207" t="str">
        <f>IF(F378&gt;'DCA Underwriting Assumptions'!$Q$129, "Request exceeds DCA per project maximum for set aside!!!","")</f>
        <v/>
      </c>
      <c r="K378" s="53"/>
      <c r="L378" s="53"/>
      <c r="O378" s="484" t="s">
        <v>1560</v>
      </c>
      <c r="P378" s="2928" t="s">
        <v>3010</v>
      </c>
      <c r="Q378" s="563"/>
      <c r="AE378" s="51"/>
      <c r="AF378" s="51"/>
    </row>
    <row r="379" spans="1:32" s="43" customFormat="1" ht="10.5" customHeight="1">
      <c r="A379" s="48"/>
      <c r="B379" s="37" t="s">
        <v>1561</v>
      </c>
      <c r="C379" s="53" t="s">
        <v>3962</v>
      </c>
      <c r="E379" s="53"/>
      <c r="F379" s="53"/>
      <c r="G379" s="53"/>
      <c r="H379" s="53" t="s">
        <v>3617</v>
      </c>
      <c r="I379" s="53"/>
      <c r="J379" s="3197">
        <v>249409</v>
      </c>
      <c r="K379" s="3198"/>
      <c r="L379" s="53" t="s">
        <v>3963</v>
      </c>
      <c r="M379" s="1994"/>
      <c r="N379" s="1995"/>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9" t="s">
        <v>3010</v>
      </c>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6" t="s">
        <v>3965</v>
      </c>
      <c r="D382" s="138"/>
      <c r="E382" s="138"/>
      <c r="F382" s="138"/>
      <c r="G382" s="138"/>
      <c r="H382" s="138"/>
      <c r="J382" s="1986" t="s">
        <v>3970</v>
      </c>
      <c r="K382" s="1986"/>
      <c r="L382" s="1986"/>
      <c r="M382" s="1986"/>
      <c r="N382" s="1941" t="s">
        <v>3967</v>
      </c>
      <c r="O382" s="1941"/>
      <c r="P382" s="138"/>
      <c r="Q382" s="138"/>
      <c r="R382" s="138"/>
      <c r="AE382" s="51"/>
      <c r="AF382" s="51"/>
    </row>
    <row r="383" spans="1:32" s="43" customFormat="1" ht="10.5" customHeight="1">
      <c r="B383" s="37" t="s">
        <v>1749</v>
      </c>
      <c r="C383" s="956" t="s">
        <v>3966</v>
      </c>
      <c r="E383" s="1594"/>
      <c r="F383" s="1594"/>
      <c r="G383" s="1594"/>
      <c r="H383" s="1594"/>
      <c r="J383" s="3199">
        <v>1312500</v>
      </c>
      <c r="K383" s="3200"/>
      <c r="L383" s="1996"/>
      <c r="M383" s="1997"/>
      <c r="N383" s="1208">
        <f>IF(J383="","",J377/J383)</f>
        <v>0.62855238095238097</v>
      </c>
      <c r="O383" s="1209" t="str">
        <f>IF(L383="","",L377/L383)</f>
        <v/>
      </c>
      <c r="P383" s="2929" t="s">
        <v>3010</v>
      </c>
      <c r="Q383" s="561"/>
      <c r="AE383" s="51"/>
      <c r="AF383" s="51"/>
    </row>
    <row r="384" spans="1:32" s="43" customFormat="1" ht="10.5" customHeight="1">
      <c r="B384" s="37" t="s">
        <v>1750</v>
      </c>
      <c r="C384" s="53" t="s">
        <v>3969</v>
      </c>
      <c r="E384" s="138"/>
      <c r="F384" s="138"/>
      <c r="G384" s="138"/>
      <c r="H384" s="138"/>
      <c r="N384" s="138"/>
      <c r="O384" s="484" t="s">
        <v>1750</v>
      </c>
      <c r="P384" s="3201">
        <v>42</v>
      </c>
      <c r="Q384" s="1454"/>
      <c r="AE384" s="51"/>
      <c r="AF384" s="51"/>
    </row>
    <row r="385" spans="1:32" s="43" customFormat="1" ht="10.5" customHeight="1">
      <c r="B385" s="37" t="s">
        <v>1751</v>
      </c>
      <c r="C385" s="53" t="s">
        <v>3971</v>
      </c>
      <c r="E385" s="138"/>
      <c r="F385" s="138"/>
      <c r="G385" s="138"/>
      <c r="H385" s="138"/>
      <c r="M385" s="138"/>
      <c r="N385" s="138"/>
      <c r="O385" s="484" t="s">
        <v>1751</v>
      </c>
      <c r="P385" s="2928" t="s">
        <v>3010</v>
      </c>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31.5" customHeight="1">
      <c r="A387" s="3113" t="s">
        <v>4675</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1879</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2700</v>
      </c>
      <c r="C392" s="4"/>
      <c r="D392" s="4"/>
      <c r="E392" s="4"/>
      <c r="F392" s="4"/>
      <c r="G392" s="4"/>
      <c r="H392" s="1588"/>
      <c r="I392" s="1588"/>
      <c r="J392" s="1588"/>
      <c r="O392" s="136" t="s">
        <v>1880</v>
      </c>
      <c r="P392" s="1911"/>
      <c r="Q392" s="1912"/>
    </row>
    <row r="393" spans="1:32" ht="11.45" customHeight="1">
      <c r="A393" s="48" t="s">
        <v>1998</v>
      </c>
      <c r="B393" s="121" t="s">
        <v>1043</v>
      </c>
      <c r="E393" s="3202" t="s">
        <v>4617</v>
      </c>
      <c r="F393" s="3203"/>
      <c r="G393" s="3203"/>
      <c r="H393" s="3203"/>
      <c r="I393" s="3204"/>
      <c r="J393" s="1893" t="s">
        <v>2687</v>
      </c>
      <c r="K393" s="1894"/>
      <c r="L393" s="1895"/>
      <c r="M393" s="3202"/>
      <c r="N393" s="3203"/>
      <c r="O393" s="3203"/>
      <c r="P393" s="3203"/>
      <c r="Q393" s="3204"/>
    </row>
    <row r="394" spans="1:32" ht="11.45" customHeight="1">
      <c r="A394" s="48" t="s">
        <v>2000</v>
      </c>
      <c r="B394" s="53" t="s">
        <v>3486</v>
      </c>
      <c r="D394" s="53"/>
      <c r="E394" s="53"/>
      <c r="F394" s="53"/>
      <c r="G394" s="53"/>
      <c r="H394" s="53"/>
      <c r="I394" s="53"/>
      <c r="J394" s="53"/>
      <c r="K394" s="53"/>
      <c r="L394" s="956"/>
      <c r="M394" s="956"/>
      <c r="O394" s="484" t="s">
        <v>2000</v>
      </c>
      <c r="P394" s="2929"/>
      <c r="Q394" s="561"/>
    </row>
    <row r="395" spans="1:32" ht="22.5" customHeight="1">
      <c r="A395" s="146" t="s">
        <v>756</v>
      </c>
      <c r="B395" s="1963" t="s">
        <v>3496</v>
      </c>
      <c r="C395" s="1963"/>
      <c r="D395" s="1963"/>
      <c r="E395" s="1963"/>
      <c r="F395" s="1963"/>
      <c r="G395" s="1963"/>
      <c r="H395" s="1963"/>
      <c r="I395" s="1963"/>
      <c r="J395" s="1963"/>
      <c r="K395" s="1963"/>
      <c r="L395" s="1963"/>
      <c r="M395" s="1963"/>
      <c r="N395" s="1963"/>
      <c r="O395" s="166" t="s">
        <v>756</v>
      </c>
      <c r="P395" s="3147"/>
      <c r="Q395" s="564"/>
    </row>
    <row r="396" spans="1:32">
      <c r="A396" s="48" t="s">
        <v>2130</v>
      </c>
      <c r="B396" s="56" t="s">
        <v>3726</v>
      </c>
      <c r="G396" s="1594"/>
      <c r="H396" s="1594"/>
      <c r="I396" s="1594"/>
      <c r="J396" s="956" t="s">
        <v>3727</v>
      </c>
      <c r="L396" s="1594"/>
      <c r="M396" s="1896">
        <f>'Part III-Sources of Funds'!E11</f>
        <v>0</v>
      </c>
      <c r="N396" s="1897"/>
      <c r="O396" s="484" t="s">
        <v>2130</v>
      </c>
      <c r="P396" s="2928"/>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3" t="s">
        <v>4618</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1879</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2684</v>
      </c>
      <c r="C402" s="4"/>
      <c r="D402" s="4"/>
      <c r="E402" s="1588"/>
      <c r="G402" s="144" t="s">
        <v>707</v>
      </c>
      <c r="H402" s="1588"/>
      <c r="I402" s="1588"/>
      <c r="J402" s="1588"/>
      <c r="K402" s="1588"/>
      <c r="L402" s="1588"/>
      <c r="M402" s="1588"/>
      <c r="O402" s="136" t="s">
        <v>1880</v>
      </c>
      <c r="P402" s="1911"/>
      <c r="Q402" s="2006"/>
    </row>
    <row r="403" spans="1:31" ht="12" customHeight="1">
      <c r="A403" s="48" t="s">
        <v>1998</v>
      </c>
      <c r="B403" s="53" t="s">
        <v>2689</v>
      </c>
      <c r="D403" s="957"/>
      <c r="E403" s="957"/>
      <c r="H403" s="144"/>
      <c r="O403" s="484" t="s">
        <v>1998</v>
      </c>
      <c r="P403" s="2929" t="s">
        <v>3010</v>
      </c>
      <c r="Q403" s="561"/>
    </row>
    <row r="404" spans="1:31" ht="12" customHeight="1">
      <c r="A404" s="48" t="s">
        <v>2000</v>
      </c>
      <c r="B404" s="53" t="s">
        <v>3607</v>
      </c>
      <c r="D404" s="957"/>
      <c r="E404" s="957"/>
      <c r="O404" s="484" t="s">
        <v>2000</v>
      </c>
      <c r="P404" s="2935" t="s">
        <v>3013</v>
      </c>
      <c r="Q404" s="562"/>
    </row>
    <row r="405" spans="1:31" ht="12" customHeight="1">
      <c r="A405" s="48" t="s">
        <v>756</v>
      </c>
      <c r="B405" s="53" t="s">
        <v>4127</v>
      </c>
      <c r="D405" s="957"/>
      <c r="E405" s="957"/>
      <c r="O405" s="484" t="s">
        <v>756</v>
      </c>
      <c r="P405" s="2935"/>
      <c r="Q405" s="562"/>
    </row>
    <row r="406" spans="1:31" ht="12" customHeight="1">
      <c r="A406" s="48" t="s">
        <v>2130</v>
      </c>
      <c r="B406" s="53" t="s">
        <v>3608</v>
      </c>
      <c r="E406" s="144"/>
      <c r="O406" s="484" t="s">
        <v>2130</v>
      </c>
      <c r="P406" s="2935" t="s">
        <v>3013</v>
      </c>
      <c r="Q406" s="562"/>
    </row>
    <row r="407" spans="1:31" ht="12" customHeight="1">
      <c r="A407" s="48" t="s">
        <v>1747</v>
      </c>
      <c r="B407" s="53" t="s">
        <v>2094</v>
      </c>
      <c r="E407" s="144"/>
      <c r="G407" s="484" t="s">
        <v>1747</v>
      </c>
      <c r="H407" s="3205"/>
      <c r="I407" s="3206"/>
      <c r="J407" s="3206"/>
      <c r="K407" s="3206"/>
      <c r="L407" s="3206"/>
      <c r="M407" s="3206"/>
      <c r="N407" s="3206"/>
      <c r="O407" s="3207"/>
      <c r="P407" s="2928"/>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3" t="s">
        <v>4707</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1879</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2685</v>
      </c>
      <c r="C413" s="4"/>
      <c r="D413" s="4"/>
      <c r="E413" s="4"/>
      <c r="F413" s="4"/>
      <c r="G413" s="4"/>
      <c r="H413" s="1588"/>
      <c r="I413" s="1588"/>
      <c r="J413" s="1588"/>
      <c r="K413" s="1588"/>
      <c r="L413" s="1588"/>
      <c r="M413" s="1588"/>
      <c r="O413" s="136" t="s">
        <v>1880</v>
      </c>
      <c r="P413" s="1911"/>
      <c r="Q413" s="2006"/>
    </row>
    <row r="414" spans="1:31" ht="12" customHeight="1">
      <c r="A414" s="48" t="s">
        <v>1998</v>
      </c>
      <c r="B414" s="40" t="s">
        <v>759</v>
      </c>
      <c r="D414" s="43"/>
      <c r="E414" s="43"/>
      <c r="F414" s="43"/>
      <c r="G414" s="43"/>
      <c r="H414" s="43"/>
      <c r="I414" s="43"/>
      <c r="J414" s="43"/>
      <c r="K414" s="43"/>
      <c r="L414" s="43"/>
      <c r="M414" s="43"/>
      <c r="N414" s="43"/>
      <c r="O414" s="484" t="s">
        <v>1998</v>
      </c>
      <c r="P414" s="2929" t="s">
        <v>3010</v>
      </c>
      <c r="Q414" s="561"/>
    </row>
    <row r="415" spans="1:31" ht="12" customHeight="1">
      <c r="A415" s="48" t="s">
        <v>2000</v>
      </c>
      <c r="B415" s="37" t="s">
        <v>3498</v>
      </c>
      <c r="D415" s="43"/>
      <c r="E415" s="43"/>
      <c r="F415" s="43"/>
      <c r="G415" s="43"/>
      <c r="H415" s="43"/>
      <c r="I415" s="43"/>
      <c r="J415" s="43"/>
      <c r="K415" s="43"/>
      <c r="L415" s="43"/>
      <c r="M415" s="43"/>
      <c r="N415" s="43"/>
      <c r="O415" s="484" t="s">
        <v>1457</v>
      </c>
      <c r="P415" s="2928" t="s">
        <v>3013</v>
      </c>
      <c r="Q415" s="563"/>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4" t="s">
        <v>1750</v>
      </c>
      <c r="P417" s="2929" t="s">
        <v>3013</v>
      </c>
      <c r="Q417" s="561"/>
    </row>
    <row r="418" spans="1:32" s="152" customFormat="1" ht="12" customHeight="1">
      <c r="A418" s="48"/>
      <c r="B418" s="53" t="s">
        <v>3594</v>
      </c>
      <c r="C418" s="53" t="s">
        <v>3595</v>
      </c>
      <c r="E418" s="53"/>
      <c r="F418" s="53"/>
      <c r="G418" s="53"/>
      <c r="H418" s="53"/>
      <c r="I418" s="53"/>
      <c r="J418" s="53"/>
      <c r="K418" s="53"/>
      <c r="L418" s="53"/>
      <c r="M418" s="53"/>
      <c r="N418" s="97"/>
      <c r="O418" s="484" t="s">
        <v>1751</v>
      </c>
      <c r="P418" s="2935" t="s">
        <v>3010</v>
      </c>
      <c r="Q418" s="562"/>
      <c r="AE418" s="488"/>
      <c r="AF418" s="488"/>
    </row>
    <row r="419" spans="1:32" ht="12" customHeight="1">
      <c r="A419" s="48" t="s">
        <v>756</v>
      </c>
      <c r="B419" s="53" t="s">
        <v>2216</v>
      </c>
      <c r="C419" s="53"/>
      <c r="E419" s="53"/>
      <c r="F419" s="53"/>
      <c r="G419" s="53"/>
      <c r="H419" s="53"/>
      <c r="I419" s="53"/>
      <c r="J419" s="53"/>
      <c r="K419" s="53"/>
      <c r="L419" s="53"/>
      <c r="M419" s="53"/>
      <c r="N419" s="53"/>
      <c r="O419" s="484" t="s">
        <v>756</v>
      </c>
      <c r="P419" s="2928" t="s">
        <v>3010</v>
      </c>
      <c r="Q419" s="563"/>
    </row>
    <row r="420" spans="1:32" ht="12" customHeight="1">
      <c r="A420" s="48" t="s">
        <v>2130</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2217</v>
      </c>
      <c r="C421" s="37"/>
      <c r="E421" s="43"/>
      <c r="F421" s="956"/>
      <c r="G421" s="3208" t="s">
        <v>2841</v>
      </c>
      <c r="H421" s="572"/>
      <c r="J421" s="139" t="s">
        <v>2220</v>
      </c>
      <c r="K421" s="956"/>
      <c r="N421" s="3208" t="s">
        <v>2841</v>
      </c>
      <c r="O421" s="572"/>
    </row>
    <row r="422" spans="1:32" ht="12" customHeight="1">
      <c r="A422" s="48"/>
      <c r="B422" s="139" t="s">
        <v>2218</v>
      </c>
      <c r="C422" s="37"/>
      <c r="E422" s="43"/>
      <c r="F422" s="956"/>
      <c r="G422" s="3209">
        <v>15</v>
      </c>
      <c r="H422" s="573"/>
      <c r="J422" s="139" t="s">
        <v>2221</v>
      </c>
      <c r="K422" s="956"/>
      <c r="N422" s="3210" t="s">
        <v>2841</v>
      </c>
      <c r="O422" s="574"/>
    </row>
    <row r="423" spans="1:32" ht="12" customHeight="1">
      <c r="A423" s="48"/>
      <c r="B423" s="139" t="s">
        <v>2219</v>
      </c>
      <c r="C423" s="37"/>
      <c r="E423" s="43"/>
      <c r="F423" s="956"/>
      <c r="G423" s="3210">
        <v>1</v>
      </c>
      <c r="H423" s="574"/>
      <c r="K423" s="956"/>
      <c r="L423" s="956"/>
      <c r="M423" s="956"/>
      <c r="N423" s="43"/>
      <c r="O423" s="484"/>
    </row>
    <row r="424" spans="1:32" ht="12" customHeight="1">
      <c r="A424" s="48" t="s">
        <v>1747</v>
      </c>
      <c r="B424" s="956" t="s">
        <v>2400</v>
      </c>
      <c r="C424" s="956"/>
      <c r="E424" s="956"/>
      <c r="F424" s="956"/>
      <c r="G424" s="956"/>
      <c r="J424" s="43"/>
      <c r="K424" s="956"/>
      <c r="L424" s="956"/>
      <c r="M424" s="956"/>
      <c r="N424" s="43"/>
      <c r="O424" s="484"/>
      <c r="P424" s="484"/>
      <c r="Q424" s="484"/>
    </row>
    <row r="425" spans="1:32" ht="12" customHeight="1">
      <c r="A425" s="43"/>
      <c r="B425" s="446" t="s">
        <v>2222</v>
      </c>
      <c r="C425" s="956"/>
      <c r="E425" s="956"/>
      <c r="F425" s="956"/>
      <c r="G425" s="2929" t="s">
        <v>3010</v>
      </c>
      <c r="H425" s="561"/>
      <c r="J425" s="446" t="s">
        <v>1192</v>
      </c>
      <c r="K425" s="956"/>
      <c r="N425" s="2999" t="s">
        <v>3010</v>
      </c>
      <c r="O425" s="560"/>
    </row>
    <row r="426" spans="1:32" ht="12" customHeight="1">
      <c r="A426" s="43"/>
      <c r="B426" s="446" t="s">
        <v>1191</v>
      </c>
      <c r="C426" s="956"/>
      <c r="E426" s="956"/>
      <c r="F426" s="956"/>
      <c r="G426" s="2928" t="s">
        <v>3010</v>
      </c>
      <c r="H426" s="563"/>
      <c r="J426" s="446" t="s">
        <v>2268</v>
      </c>
      <c r="N426" s="3211"/>
      <c r="O426" s="3212"/>
      <c r="P426" s="3212"/>
      <c r="Q426" s="3213"/>
    </row>
    <row r="427" spans="1:32" ht="12" customHeight="1">
      <c r="B427" s="145" t="s">
        <v>3783</v>
      </c>
      <c r="D427" s="145"/>
      <c r="E427" s="145"/>
      <c r="F427" s="145"/>
      <c r="G427" s="145"/>
      <c r="H427" s="41"/>
      <c r="I427" s="1597"/>
      <c r="J427" s="1597"/>
      <c r="K427" s="1597"/>
      <c r="P427" s="1586"/>
      <c r="Q427" s="955"/>
    </row>
    <row r="428" spans="1:32" ht="12" customHeight="1">
      <c r="A428" s="3113" t="s">
        <v>4706</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1879</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2833</v>
      </c>
      <c r="C432" s="4"/>
      <c r="D432" s="89"/>
      <c r="E432" s="1588"/>
      <c r="F432" s="1588"/>
      <c r="G432" s="1588"/>
      <c r="H432" s="1588"/>
      <c r="O432" s="136" t="s">
        <v>1880</v>
      </c>
      <c r="P432" s="1911"/>
      <c r="Q432" s="1912"/>
    </row>
    <row r="433" spans="1:32" ht="13.9" customHeight="1">
      <c r="B433" s="89" t="s">
        <v>3972</v>
      </c>
      <c r="C433" s="4"/>
      <c r="D433" s="89"/>
      <c r="E433" s="1588"/>
      <c r="F433" s="1588"/>
      <c r="G433" s="1588"/>
      <c r="H433" s="1588"/>
    </row>
    <row r="434" spans="1:32" s="137" customFormat="1" ht="21.75" customHeight="1">
      <c r="A434" s="146" t="s">
        <v>1998</v>
      </c>
      <c r="B434" s="1998" t="s">
        <v>3975</v>
      </c>
      <c r="C434" s="1998"/>
      <c r="D434" s="1998"/>
      <c r="E434" s="1998"/>
      <c r="F434" s="1998"/>
      <c r="G434" s="1998"/>
      <c r="H434" s="1998"/>
      <c r="I434" s="1998"/>
      <c r="J434" s="1998"/>
      <c r="K434" s="1998"/>
      <c r="L434" s="1998"/>
      <c r="M434" s="1998"/>
      <c r="N434" s="1998"/>
      <c r="O434" s="166" t="s">
        <v>1998</v>
      </c>
      <c r="P434" s="3071" t="s">
        <v>4610</v>
      </c>
      <c r="Q434" s="1261"/>
      <c r="AE434" s="487"/>
      <c r="AF434" s="487"/>
    </row>
    <row r="435" spans="1:32" s="137" customFormat="1" ht="22.5" customHeight="1">
      <c r="A435" s="146" t="s">
        <v>2000</v>
      </c>
      <c r="B435" s="1998" t="s">
        <v>3973</v>
      </c>
      <c r="C435" s="1998"/>
      <c r="D435" s="1998"/>
      <c r="E435" s="1998"/>
      <c r="F435" s="1998"/>
      <c r="G435" s="1998"/>
      <c r="H435" s="1998"/>
      <c r="I435" s="1998"/>
      <c r="J435" s="1998"/>
      <c r="K435" s="1998"/>
      <c r="L435" s="1998"/>
      <c r="M435" s="1998"/>
      <c r="N435" s="1998"/>
      <c r="O435" s="166" t="s">
        <v>2000</v>
      </c>
      <c r="P435" s="3147" t="s">
        <v>4610</v>
      </c>
      <c r="Q435" s="564"/>
      <c r="AE435" s="487"/>
      <c r="AF435" s="487"/>
    </row>
    <row r="436" spans="1:32" s="137" customFormat="1" ht="22.5" customHeight="1">
      <c r="B436" s="1998" t="s">
        <v>3974</v>
      </c>
      <c r="C436" s="1998"/>
      <c r="D436" s="1998"/>
      <c r="E436" s="1998"/>
      <c r="F436" s="1998"/>
      <c r="G436" s="1998"/>
      <c r="H436" s="1998"/>
      <c r="I436" s="1998"/>
      <c r="J436" s="1998"/>
      <c r="K436" s="1998"/>
      <c r="L436" s="1998"/>
      <c r="M436" s="1998"/>
      <c r="N436" s="1998"/>
      <c r="O436" s="166" t="s">
        <v>1749</v>
      </c>
      <c r="P436" s="3147" t="s">
        <v>4610</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1750</v>
      </c>
      <c r="P437" s="3147" t="s">
        <v>4610</v>
      </c>
      <c r="Q437" s="564"/>
      <c r="AE437" s="487"/>
      <c r="AF437" s="487"/>
    </row>
    <row r="438" spans="1:32" s="137" customFormat="1" ht="36" customHeight="1">
      <c r="B438" s="1998" t="s">
        <v>3977</v>
      </c>
      <c r="C438" s="1998"/>
      <c r="D438" s="1998"/>
      <c r="E438" s="1998"/>
      <c r="F438" s="1998"/>
      <c r="G438" s="1998"/>
      <c r="H438" s="1998"/>
      <c r="I438" s="1998"/>
      <c r="J438" s="1998"/>
      <c r="K438" s="1998"/>
      <c r="L438" s="1998"/>
      <c r="M438" s="1998"/>
      <c r="N438" s="1998"/>
      <c r="O438" s="166" t="s">
        <v>1751</v>
      </c>
      <c r="P438" s="3147" t="s">
        <v>4610</v>
      </c>
      <c r="Q438" s="564"/>
      <c r="AE438" s="487"/>
      <c r="AF438" s="487"/>
    </row>
    <row r="439" spans="1:32" s="137" customFormat="1" ht="22.5" customHeight="1">
      <c r="B439" s="1998" t="s">
        <v>3978</v>
      </c>
      <c r="C439" s="1998"/>
      <c r="D439" s="1998"/>
      <c r="E439" s="1998"/>
      <c r="F439" s="1998"/>
      <c r="G439" s="1998"/>
      <c r="H439" s="1998"/>
      <c r="I439" s="1998"/>
      <c r="J439" s="1998"/>
      <c r="K439" s="1998"/>
      <c r="L439" s="1998"/>
      <c r="M439" s="1998"/>
      <c r="N439" s="1998"/>
      <c r="O439" s="166" t="s">
        <v>2380</v>
      </c>
      <c r="P439" s="3147" t="s">
        <v>4610</v>
      </c>
      <c r="Q439" s="564"/>
      <c r="AE439" s="487"/>
      <c r="AF439" s="487"/>
    </row>
    <row r="440" spans="1:32" s="137" customFormat="1" ht="22.5" customHeight="1">
      <c r="A440" s="146" t="s">
        <v>756</v>
      </c>
      <c r="B440" s="1998" t="s">
        <v>3979</v>
      </c>
      <c r="C440" s="1998"/>
      <c r="D440" s="1998"/>
      <c r="E440" s="1998"/>
      <c r="F440" s="1998"/>
      <c r="G440" s="1998"/>
      <c r="H440" s="1998"/>
      <c r="I440" s="1998"/>
      <c r="J440" s="1998"/>
      <c r="K440" s="1998"/>
      <c r="L440" s="1998"/>
      <c r="M440" s="1998"/>
      <c r="N440" s="1998"/>
      <c r="O440" s="166" t="s">
        <v>756</v>
      </c>
      <c r="P440" s="3147" t="s">
        <v>4610</v>
      </c>
      <c r="Q440" s="564"/>
      <c r="AE440" s="487"/>
      <c r="AF440" s="487"/>
    </row>
    <row r="441" spans="1:32" s="137" customFormat="1" ht="22.5" customHeight="1">
      <c r="A441" s="146" t="s">
        <v>2130</v>
      </c>
      <c r="B441" s="1998" t="s">
        <v>3980</v>
      </c>
      <c r="C441" s="1998"/>
      <c r="D441" s="1998"/>
      <c r="E441" s="1998"/>
      <c r="F441" s="1998"/>
      <c r="G441" s="1998"/>
      <c r="H441" s="1998"/>
      <c r="I441" s="1998"/>
      <c r="J441" s="1998"/>
      <c r="K441" s="1998"/>
      <c r="L441" s="1998"/>
      <c r="M441" s="1998"/>
      <c r="N441" s="1998"/>
      <c r="O441" s="166" t="s">
        <v>2130</v>
      </c>
      <c r="P441" s="3147" t="s">
        <v>4610</v>
      </c>
      <c r="Q441" s="564"/>
      <c r="AE441" s="487"/>
      <c r="AF441" s="487"/>
    </row>
    <row r="442" spans="1:32" s="137" customFormat="1" ht="21.75" customHeight="1">
      <c r="A442" s="146" t="s">
        <v>1747</v>
      </c>
      <c r="B442" s="1998" t="s">
        <v>3981</v>
      </c>
      <c r="C442" s="1998"/>
      <c r="D442" s="1998"/>
      <c r="E442" s="1998"/>
      <c r="F442" s="1998"/>
      <c r="G442" s="1998"/>
      <c r="H442" s="1998"/>
      <c r="I442" s="1998"/>
      <c r="J442" s="1998"/>
      <c r="K442" s="1998"/>
      <c r="L442" s="1998"/>
      <c r="M442" s="1998"/>
      <c r="N442" s="1998"/>
      <c r="O442" s="166" t="s">
        <v>1747</v>
      </c>
      <c r="P442" s="3147" t="s">
        <v>4610</v>
      </c>
      <c r="Q442" s="564"/>
      <c r="AE442" s="487"/>
      <c r="AF442" s="487"/>
    </row>
    <row r="443" spans="1:32" s="429" customFormat="1" ht="21.75" customHeight="1">
      <c r="A443" s="146" t="s">
        <v>1748</v>
      </c>
      <c r="B443" s="1998" t="s">
        <v>3499</v>
      </c>
      <c r="C443" s="1998"/>
      <c r="D443" s="1998"/>
      <c r="E443" s="1998"/>
      <c r="F443" s="1998"/>
      <c r="G443" s="1998"/>
      <c r="H443" s="1998"/>
      <c r="I443" s="1998"/>
      <c r="J443" s="1998"/>
      <c r="K443" s="1998"/>
      <c r="L443" s="1998"/>
      <c r="M443" s="1998"/>
      <c r="N443" s="1998"/>
      <c r="O443" s="166" t="s">
        <v>1748</v>
      </c>
      <c r="P443" s="3094" t="s">
        <v>4610</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22.5" customHeight="1">
      <c r="A445" s="3113" t="s">
        <v>4619</v>
      </c>
      <c r="B445" s="3114"/>
      <c r="C445" s="3114"/>
      <c r="D445" s="3114"/>
      <c r="E445" s="3114"/>
      <c r="F445" s="3114"/>
      <c r="G445" s="3114"/>
      <c r="H445" s="3114"/>
      <c r="I445" s="3114"/>
      <c r="J445" s="3114"/>
      <c r="K445" s="3114"/>
      <c r="L445" s="3114"/>
      <c r="M445" s="3114"/>
      <c r="N445" s="3114"/>
      <c r="O445" s="3114"/>
      <c r="P445" s="3114"/>
      <c r="Q445" s="3115"/>
      <c r="R445" s="461" t="s">
        <v>1265</v>
      </c>
      <c r="S445" s="462"/>
      <c r="U445" s="140"/>
      <c r="V445" s="140"/>
      <c r="W445" s="140"/>
      <c r="X445" s="140"/>
      <c r="Y445" s="140"/>
      <c r="Z445" s="140"/>
      <c r="AA445" s="140"/>
      <c r="AB445" s="140"/>
      <c r="AC445" s="140"/>
      <c r="AD445" s="140"/>
      <c r="AE445" s="486"/>
    </row>
    <row r="446" spans="1:32" ht="11.25" customHeight="1">
      <c r="B446" s="141" t="s">
        <v>1879</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2686</v>
      </c>
      <c r="C449" s="4"/>
      <c r="D449" s="89"/>
      <c r="E449" s="1588"/>
      <c r="F449" s="1588"/>
      <c r="G449" s="1588"/>
      <c r="H449" s="1588"/>
      <c r="I449" s="1588"/>
      <c r="J449" s="1588"/>
      <c r="K449" s="1588"/>
      <c r="L449" s="1588"/>
      <c r="M449" s="1588"/>
      <c r="O449" s="136" t="s">
        <v>1880</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22.5" customHeight="1">
      <c r="A451" s="3113" t="s">
        <v>4676</v>
      </c>
      <c r="B451" s="3114"/>
      <c r="C451" s="3114"/>
      <c r="D451" s="3114"/>
      <c r="E451" s="3114"/>
      <c r="F451" s="3114"/>
      <c r="G451" s="3114"/>
      <c r="H451" s="3114"/>
      <c r="I451" s="3114"/>
      <c r="J451" s="3114"/>
      <c r="K451" s="3114"/>
      <c r="L451" s="3114"/>
      <c r="M451" s="3114"/>
      <c r="N451" s="3114"/>
      <c r="O451" s="3114"/>
      <c r="P451" s="3114"/>
      <c r="Q451" s="3115"/>
      <c r="R451" s="461" t="s">
        <v>1265</v>
      </c>
      <c r="S451" s="462"/>
      <c r="U451" s="140"/>
      <c r="V451" s="140"/>
      <c r="W451" s="140"/>
      <c r="X451" s="140"/>
      <c r="Y451" s="140"/>
      <c r="Z451" s="140"/>
      <c r="AA451" s="140"/>
      <c r="AB451" s="140"/>
      <c r="AC451" s="140"/>
      <c r="AD451" s="140"/>
      <c r="AE451" s="486"/>
    </row>
    <row r="452" spans="1:32" ht="11.25" customHeight="1">
      <c r="B452" s="141" t="s">
        <v>1879</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1661</v>
      </c>
      <c r="D474" s="1144"/>
      <c r="E474" s="1144"/>
      <c r="F474" s="1144"/>
      <c r="G474" s="1144"/>
      <c r="H474" s="1144"/>
      <c r="I474" s="1144"/>
      <c r="J474" s="1144" t="s">
        <v>1022</v>
      </c>
      <c r="K474" s="1144"/>
      <c r="L474" s="1145"/>
      <c r="M474" s="1145"/>
      <c r="N474" s="1146"/>
      <c r="O474" s="1145" t="s">
        <v>2903</v>
      </c>
      <c r="P474" s="1147"/>
      <c r="Q474" s="1145"/>
      <c r="R474" s="1145"/>
      <c r="AE474" s="454"/>
      <c r="AF474" s="454"/>
    </row>
    <row r="475" spans="1:32" s="446" customFormat="1" ht="11.25">
      <c r="C475" s="1145" t="s">
        <v>2104</v>
      </c>
      <c r="D475" s="1145"/>
      <c r="E475" s="1145"/>
      <c r="F475" s="1145"/>
      <c r="G475" s="1145"/>
      <c r="H475" s="1145"/>
      <c r="I475" s="1145"/>
      <c r="J475" s="1145" t="s">
        <v>1783</v>
      </c>
      <c r="K475" s="1145"/>
      <c r="L475" s="1145"/>
      <c r="M475" s="1145"/>
      <c r="N475" s="1146"/>
      <c r="O475" s="1145" t="s">
        <v>3866</v>
      </c>
      <c r="P475" s="1147"/>
      <c r="Q475" s="1145"/>
      <c r="R475" s="1145"/>
      <c r="AE475" s="454"/>
      <c r="AF475" s="454"/>
    </row>
    <row r="476" spans="1:32" s="446" customFormat="1" ht="11.25">
      <c r="C476" s="1144" t="s">
        <v>2560</v>
      </c>
      <c r="D476" s="1144"/>
      <c r="E476" s="1144"/>
      <c r="F476" s="1144"/>
      <c r="G476" s="1144"/>
      <c r="H476" s="1144"/>
      <c r="I476" s="1144"/>
      <c r="J476" s="1148" t="s">
        <v>1736</v>
      </c>
      <c r="K476" s="1144"/>
      <c r="L476" s="1145"/>
      <c r="M476" s="1145"/>
      <c r="N476" s="1146"/>
      <c r="O476" s="1145" t="s">
        <v>3867</v>
      </c>
      <c r="P476" s="1147"/>
      <c r="Q476" s="1145"/>
      <c r="R476" s="1145"/>
      <c r="AE476" s="454"/>
      <c r="AF476" s="454"/>
    </row>
    <row r="477" spans="1:32" s="446" customFormat="1" ht="11.25">
      <c r="C477" s="1144" t="s">
        <v>2105</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2106</v>
      </c>
      <c r="D478" s="1144"/>
      <c r="E478" s="1144"/>
      <c r="F478" s="1144"/>
      <c r="G478" s="1144"/>
      <c r="H478" s="1144"/>
      <c r="I478" s="1144"/>
      <c r="J478" s="1145" t="s">
        <v>1196</v>
      </c>
      <c r="K478" s="1144"/>
      <c r="L478" s="1145"/>
      <c r="M478" s="1145"/>
      <c r="N478" s="1146"/>
      <c r="O478" s="1145" t="s">
        <v>3869</v>
      </c>
      <c r="P478" s="1147"/>
      <c r="Q478" s="1145"/>
      <c r="R478" s="1145"/>
      <c r="AE478" s="454"/>
      <c r="AF478" s="454"/>
    </row>
    <row r="479" spans="1:32" s="446" customFormat="1" ht="11.25">
      <c r="C479" s="1154" t="s">
        <v>2107</v>
      </c>
      <c r="D479" s="1144"/>
      <c r="E479" s="1144"/>
      <c r="F479" s="1144"/>
      <c r="G479" s="1144"/>
      <c r="H479" s="1144"/>
      <c r="I479" s="1144"/>
      <c r="J479" s="1149" t="s">
        <v>2119</v>
      </c>
      <c r="K479" s="1144"/>
      <c r="L479" s="1145"/>
      <c r="M479" s="1145"/>
      <c r="N479" s="1146"/>
      <c r="O479" s="1145" t="s">
        <v>3899</v>
      </c>
      <c r="P479" s="1147"/>
      <c r="Q479" s="1145"/>
      <c r="R479" s="1145"/>
      <c r="AE479" s="454"/>
      <c r="AF479" s="454"/>
    </row>
    <row r="480" spans="1:32" s="446" customFormat="1" ht="11.25">
      <c r="C480" s="1154" t="s">
        <v>2108</v>
      </c>
      <c r="D480" s="1144"/>
      <c r="E480" s="1144"/>
      <c r="F480" s="1144"/>
      <c r="G480" s="1144"/>
      <c r="H480" s="1144"/>
      <c r="I480" s="1144"/>
      <c r="J480" s="1148" t="s">
        <v>1673</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1203</v>
      </c>
      <c r="K481" s="1144"/>
      <c r="L481" s="1145"/>
      <c r="M481" s="1145"/>
      <c r="N481" s="1146"/>
      <c r="O481" s="1145" t="s">
        <v>3871</v>
      </c>
      <c r="P481" s="1147"/>
      <c r="Q481" s="1145"/>
      <c r="R481" s="1145"/>
      <c r="AE481" s="454"/>
      <c r="AF481" s="454"/>
    </row>
    <row r="482" spans="3:32" s="446" customFormat="1" ht="11.25">
      <c r="C482" s="1145" t="s">
        <v>1783</v>
      </c>
      <c r="D482" s="1144"/>
      <c r="E482" s="1144"/>
      <c r="F482" s="1144"/>
      <c r="G482" s="1144"/>
      <c r="H482" s="1144"/>
      <c r="I482" s="1144"/>
      <c r="J482" s="1148" t="s">
        <v>1670</v>
      </c>
      <c r="K482" s="1144"/>
      <c r="L482" s="1145"/>
      <c r="M482" s="1145"/>
      <c r="N482" s="1146"/>
      <c r="O482" s="1145" t="s">
        <v>3872</v>
      </c>
      <c r="P482" s="1147"/>
      <c r="Q482" s="1145"/>
      <c r="R482" s="1145"/>
      <c r="AE482" s="454"/>
      <c r="AF482" s="454"/>
    </row>
    <row r="483" spans="3:32" s="446" customFormat="1" ht="11.25">
      <c r="C483" s="1150" t="s">
        <v>1401</v>
      </c>
      <c r="D483" s="1144"/>
      <c r="E483" s="1144"/>
      <c r="F483" s="1144"/>
      <c r="G483" s="1144"/>
      <c r="H483" s="1144"/>
      <c r="I483" s="1144"/>
      <c r="J483" s="1148" t="s">
        <v>2120</v>
      </c>
      <c r="K483" s="1144"/>
      <c r="L483" s="1145"/>
      <c r="M483" s="1145"/>
      <c r="N483" s="1146"/>
      <c r="O483" s="1145" t="s">
        <v>3873</v>
      </c>
      <c r="P483" s="1147"/>
      <c r="Q483" s="1145"/>
      <c r="R483" s="1145"/>
      <c r="AE483" s="454"/>
      <c r="AF483" s="454"/>
    </row>
    <row r="484" spans="3:32" s="446" customFormat="1" ht="11.25">
      <c r="C484" s="1150" t="s">
        <v>1402</v>
      </c>
      <c r="D484" s="1144"/>
      <c r="E484" s="1144"/>
      <c r="F484" s="1144"/>
      <c r="G484" s="1144"/>
      <c r="H484" s="1144"/>
      <c r="I484" s="1144"/>
      <c r="J484" s="1148" t="s">
        <v>1663</v>
      </c>
      <c r="K484" s="1144"/>
      <c r="L484" s="1145"/>
      <c r="M484" s="1145"/>
      <c r="N484" s="1146"/>
      <c r="O484" s="1147"/>
      <c r="P484" s="1147"/>
      <c r="Q484" s="1145"/>
      <c r="R484" s="1145"/>
      <c r="AE484" s="454"/>
      <c r="AF484" s="454"/>
    </row>
    <row r="485" spans="3:32" s="446" customFormat="1" ht="11.25">
      <c r="C485" s="1155" t="s">
        <v>2148</v>
      </c>
      <c r="D485" s="1144"/>
      <c r="E485" s="1144"/>
      <c r="F485" s="1144"/>
      <c r="G485" s="1144"/>
      <c r="H485" s="1144"/>
      <c r="I485" s="1144"/>
      <c r="J485" s="1148" t="s">
        <v>1204</v>
      </c>
      <c r="K485" s="1144"/>
      <c r="L485" s="1145"/>
      <c r="M485" s="1145"/>
      <c r="N485" s="1146"/>
      <c r="O485" s="1147"/>
      <c r="P485" s="1147"/>
      <c r="Q485" s="1145"/>
      <c r="R485" s="1145"/>
      <c r="AE485" s="454"/>
      <c r="AF485" s="454"/>
    </row>
    <row r="486" spans="3:32" s="446" customFormat="1" ht="11.25">
      <c r="C486" s="1155" t="s">
        <v>1398</v>
      </c>
      <c r="D486" s="1144"/>
      <c r="E486" s="1144"/>
      <c r="F486" s="1144"/>
      <c r="G486" s="1144"/>
      <c r="H486" s="1144"/>
      <c r="I486" s="1144"/>
      <c r="J486" s="1148" t="s">
        <v>596</v>
      </c>
      <c r="K486" s="1144"/>
      <c r="L486" s="1145"/>
      <c r="M486" s="1145"/>
      <c r="N486" s="1146"/>
      <c r="O486" s="1147"/>
      <c r="P486" s="1147"/>
      <c r="Q486" s="1145"/>
      <c r="R486" s="1145"/>
      <c r="AE486" s="454"/>
      <c r="AF486" s="454"/>
    </row>
    <row r="487" spans="3:32" s="446" customFormat="1" ht="11.25">
      <c r="C487" s="1155" t="s">
        <v>1399</v>
      </c>
      <c r="D487" s="1144"/>
      <c r="E487" s="1144"/>
      <c r="F487" s="1144"/>
      <c r="G487" s="1144"/>
      <c r="H487" s="1144"/>
      <c r="I487" s="1144"/>
      <c r="J487" s="1148" t="s">
        <v>1669</v>
      </c>
      <c r="K487" s="1144"/>
      <c r="L487" s="1145"/>
      <c r="M487" s="1145"/>
      <c r="N487" s="1146"/>
      <c r="O487" s="1147"/>
      <c r="P487" s="1147"/>
      <c r="Q487" s="1145"/>
      <c r="R487" s="1145"/>
      <c r="AE487" s="454"/>
      <c r="AF487" s="454"/>
    </row>
    <row r="488" spans="3:32" s="446" customFormat="1" ht="11.25">
      <c r="C488" s="1150" t="s">
        <v>2143</v>
      </c>
      <c r="D488" s="1144"/>
      <c r="E488" s="1144"/>
      <c r="F488" s="1144"/>
      <c r="G488" s="1144"/>
      <c r="H488" s="1144"/>
      <c r="I488" s="1144"/>
      <c r="J488" s="1148" t="s">
        <v>1198</v>
      </c>
      <c r="K488" s="1144"/>
      <c r="L488" s="1145"/>
      <c r="M488" s="1145"/>
      <c r="N488" s="1146"/>
      <c r="O488" s="1147"/>
      <c r="P488" s="1147"/>
      <c r="Q488" s="1145"/>
      <c r="R488" s="1145"/>
      <c r="AE488" s="454"/>
      <c r="AF488" s="454"/>
    </row>
    <row r="489" spans="3:32" s="446" customFormat="1" ht="11.25">
      <c r="C489" s="1150" t="s">
        <v>2144</v>
      </c>
      <c r="D489" s="1144"/>
      <c r="E489" s="1144"/>
      <c r="F489" s="1144"/>
      <c r="G489" s="1144"/>
      <c r="H489" s="1144"/>
      <c r="I489" s="1144"/>
      <c r="J489" s="1148" t="s">
        <v>1197</v>
      </c>
      <c r="K489" s="1145"/>
      <c r="L489" s="1145"/>
      <c r="M489" s="1145"/>
      <c r="N489" s="1146"/>
      <c r="O489" s="1147"/>
      <c r="P489" s="1147"/>
      <c r="Q489" s="1145"/>
      <c r="R489" s="1145"/>
      <c r="AE489" s="454"/>
      <c r="AF489" s="454"/>
    </row>
    <row r="490" spans="3:32" s="446" customFormat="1" ht="11.25">
      <c r="C490" s="1150" t="s">
        <v>2145</v>
      </c>
      <c r="D490" s="1145"/>
      <c r="E490" s="1145"/>
      <c r="F490" s="1145"/>
      <c r="G490" s="1145"/>
      <c r="H490" s="1145"/>
      <c r="I490" s="1145"/>
      <c r="J490" s="1148" t="s">
        <v>1737</v>
      </c>
      <c r="K490" s="1145"/>
      <c r="L490" s="1145"/>
      <c r="M490" s="1145"/>
      <c r="N490" s="1146"/>
      <c r="O490" s="1147"/>
      <c r="P490" s="1147"/>
      <c r="Q490" s="1145"/>
      <c r="R490" s="1145"/>
      <c r="AE490" s="454"/>
      <c r="AF490" s="454"/>
    </row>
    <row r="491" spans="3:32" s="446" customFormat="1" ht="11.25">
      <c r="C491" s="1150" t="s">
        <v>2146</v>
      </c>
      <c r="D491" s="1145"/>
      <c r="E491" s="1145"/>
      <c r="F491" s="1145"/>
      <c r="G491" s="1145"/>
      <c r="H491" s="1145"/>
      <c r="I491" s="1145"/>
      <c r="J491" s="1148" t="s">
        <v>1672</v>
      </c>
      <c r="K491" s="1145"/>
      <c r="L491" s="1145"/>
      <c r="M491" s="1145"/>
      <c r="N491" s="1146"/>
      <c r="O491" s="1147"/>
      <c r="P491" s="1147"/>
      <c r="Q491" s="1145"/>
      <c r="R491" s="1145"/>
      <c r="AE491" s="454"/>
      <c r="AF491" s="454"/>
    </row>
    <row r="492" spans="3:32" s="446" customFormat="1" ht="11.25">
      <c r="C492" s="1150" t="s">
        <v>2147</v>
      </c>
      <c r="D492" s="1145"/>
      <c r="E492" s="1145"/>
      <c r="F492" s="1145"/>
      <c r="G492" s="1145"/>
      <c r="H492" s="1145"/>
      <c r="I492" s="1145"/>
      <c r="J492" s="1148" t="s">
        <v>1664</v>
      </c>
      <c r="K492" s="1145"/>
      <c r="L492" s="1145"/>
      <c r="M492" s="1145"/>
      <c r="N492" s="1146"/>
      <c r="O492" s="1147"/>
      <c r="P492" s="1147"/>
      <c r="Q492" s="1145"/>
      <c r="R492" s="1145"/>
      <c r="AE492" s="454"/>
      <c r="AF492" s="454"/>
    </row>
    <row r="493" spans="3:32" s="446" customFormat="1" ht="11.25">
      <c r="C493" s="1150" t="s">
        <v>1400</v>
      </c>
      <c r="D493" s="1145"/>
      <c r="E493" s="1145"/>
      <c r="F493" s="1145"/>
      <c r="G493" s="1145"/>
      <c r="H493" s="1145"/>
      <c r="I493" s="1145"/>
      <c r="J493" s="1148" t="s">
        <v>2118</v>
      </c>
      <c r="K493" s="1145"/>
      <c r="L493" s="1145"/>
      <c r="M493" s="1145"/>
      <c r="N493" s="1146"/>
      <c r="O493" s="1147"/>
      <c r="P493" s="1147"/>
      <c r="Q493" s="1145"/>
      <c r="R493" s="1145"/>
      <c r="AE493" s="454"/>
      <c r="AF493" s="454"/>
    </row>
    <row r="494" spans="3:32" s="446" customFormat="1" ht="11.25">
      <c r="C494" s="1150" t="s">
        <v>2297</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1600</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1783</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2104</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2105</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1662</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2026</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1663</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1664</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1601</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1666</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1668</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1669</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1670</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596</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1671</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1889</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1801</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935</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1641</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726</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727</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2171</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1894</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955</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2025</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1393</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1599</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1092</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1215</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2256</v>
      </c>
      <c r="L540" s="1144"/>
      <c r="M540" s="1144"/>
      <c r="N540" s="1144"/>
      <c r="O540" s="1144"/>
      <c r="P540" s="1144"/>
      <c r="Q540" s="1144"/>
      <c r="R540" s="1144"/>
      <c r="AE540" s="430"/>
      <c r="AF540" s="430"/>
    </row>
    <row r="541" spans="3:32" s="56" customFormat="1" ht="11.25">
      <c r="C541" s="1144" t="s">
        <v>1093</v>
      </c>
      <c r="D541" s="1144"/>
      <c r="E541" s="1144"/>
      <c r="F541" s="1144"/>
      <c r="G541" s="1144"/>
      <c r="H541" s="1144"/>
      <c r="I541" s="1144"/>
      <c r="J541" s="1144"/>
      <c r="K541" s="1144" t="s">
        <v>2342</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1537</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2133</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1962</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1091</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1763</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1142</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1764</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2383</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1023</v>
      </c>
      <c r="D553" s="1144"/>
      <c r="E553" s="1144"/>
      <c r="F553" s="1144"/>
      <c r="G553" s="1144"/>
      <c r="H553" s="1144"/>
      <c r="I553" s="1144"/>
      <c r="J553" s="1144"/>
      <c r="K553" s="1152" t="s">
        <v>1024</v>
      </c>
      <c r="L553" s="1144"/>
      <c r="M553" s="1144"/>
      <c r="N553" s="1144"/>
      <c r="O553" s="1144"/>
      <c r="P553" s="1144"/>
      <c r="Q553" s="1144"/>
      <c r="R553" s="1144"/>
      <c r="AE553" s="430"/>
      <c r="AF553" s="430"/>
    </row>
    <row r="554" spans="3:32" s="56" customFormat="1" ht="11.25">
      <c r="C554" s="1144" t="s">
        <v>1022</v>
      </c>
      <c r="D554" s="1144"/>
      <c r="E554" s="1144"/>
      <c r="F554" s="1144"/>
      <c r="G554" s="1144"/>
      <c r="H554" s="1144"/>
      <c r="I554" s="1144"/>
      <c r="J554" s="1144"/>
      <c r="K554" s="1144" t="s">
        <v>1022</v>
      </c>
      <c r="L554" s="1144"/>
      <c r="M554" s="1144"/>
      <c r="N554" s="1144"/>
      <c r="O554" s="1144"/>
      <c r="P554" s="1144"/>
      <c r="Q554" s="1144"/>
      <c r="R554" s="1144"/>
      <c r="AE554" s="430"/>
      <c r="AF554" s="430"/>
    </row>
    <row r="555" spans="3:32" s="56" customFormat="1" ht="11.25">
      <c r="C555" s="1144" t="s">
        <v>2104</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2105</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1963</v>
      </c>
      <c r="D558" s="1144"/>
      <c r="E558" s="1144"/>
      <c r="F558" s="1144"/>
      <c r="G558" s="1144"/>
      <c r="H558" s="1144"/>
      <c r="I558" s="1144"/>
      <c r="J558" s="1144"/>
      <c r="K558" s="1144" t="s">
        <v>1972</v>
      </c>
      <c r="L558" s="1144"/>
      <c r="M558" s="1144"/>
      <c r="N558" s="1144"/>
      <c r="O558" s="1144"/>
      <c r="P558" s="1144"/>
      <c r="Q558" s="1144"/>
      <c r="R558" s="1144"/>
      <c r="AE558" s="430"/>
      <c r="AF558" s="430"/>
    </row>
    <row r="559" spans="3:32" s="56" customFormat="1" ht="11.25">
      <c r="C559" s="1144" t="s">
        <v>595</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2210</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1833</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1172</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1888</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594</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1889</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596</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2052</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yBbGxn3bAywGQW2iDyNyXcgtxrtVH3Vy4KrhXSYx3F2WjGmULuk68Eeweemfd2t4eVHtdqq6SuyWd1+W+MIqEA==" saltValue="P9iREQqFw5Jwtm66HqTfjw=="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7" zoomScaleNormal="100" workbookViewId="0">
      <selection activeCell="A5"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2018-032 Hillcrest Apartments, Dublin, Laurens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4143</v>
      </c>
      <c r="B3" s="2070"/>
      <c r="C3" s="2070"/>
      <c r="D3" s="2070"/>
      <c r="E3" s="2070"/>
      <c r="F3" s="2070"/>
      <c r="G3" s="2070"/>
      <c r="H3" s="2070"/>
      <c r="I3" s="2070"/>
      <c r="J3" s="2070"/>
      <c r="K3" s="2070"/>
      <c r="L3" s="2070"/>
      <c r="M3" s="1269" t="s">
        <v>2234</v>
      </c>
      <c r="N3" s="76"/>
      <c r="O3" s="86" t="s">
        <v>2233</v>
      </c>
      <c r="P3" s="1270" t="s">
        <v>258</v>
      </c>
    </row>
    <row r="4" spans="1:22" s="45" customFormat="1" ht="12" customHeight="1">
      <c r="A4" s="2070"/>
      <c r="B4" s="2070"/>
      <c r="C4" s="2070"/>
      <c r="D4" s="2070"/>
      <c r="E4" s="2070"/>
      <c r="F4" s="2070"/>
      <c r="G4" s="2070"/>
      <c r="H4" s="2070"/>
      <c r="I4" s="2070"/>
      <c r="J4" s="2070"/>
      <c r="K4" s="2070"/>
      <c r="L4" s="2070"/>
      <c r="M4" s="1271"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1237</v>
      </c>
      <c r="M6" s="276">
        <f>M441</f>
        <v>95</v>
      </c>
      <c r="N6" s="9"/>
      <c r="O6" s="1253">
        <f>O441</f>
        <v>36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621</v>
      </c>
      <c r="B8" s="109" t="s">
        <v>2801</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1998</v>
      </c>
      <c r="B10" s="172" t="s">
        <v>1881</v>
      </c>
      <c r="D10" s="49"/>
      <c r="E10" s="49"/>
      <c r="F10" s="1593"/>
      <c r="H10" s="179" t="s">
        <v>3675</v>
      </c>
      <c r="M10" s="6"/>
      <c r="N10" s="67" t="s">
        <v>1998</v>
      </c>
      <c r="O10" s="2922"/>
      <c r="P10" s="1254">
        <f>F15</f>
        <v>0</v>
      </c>
    </row>
    <row r="11" spans="1:22" s="44" customFormat="1" ht="11.25" customHeight="1">
      <c r="A11" s="185"/>
      <c r="C11" s="113" t="s">
        <v>2128</v>
      </c>
      <c r="D11" s="49"/>
      <c r="E11" s="49"/>
      <c r="F11" s="1593"/>
      <c r="H11" s="179" t="s">
        <v>2782</v>
      </c>
      <c r="J11" s="50"/>
      <c r="M11" s="6">
        <v>1</v>
      </c>
      <c r="N11" s="67"/>
      <c r="O11" s="2923"/>
      <c r="P11" s="1298">
        <f>J15</f>
        <v>0</v>
      </c>
    </row>
    <row r="12" spans="1:22" s="43" customFormat="1" ht="11.25" customHeight="1">
      <c r="A12" s="185" t="s">
        <v>2000</v>
      </c>
      <c r="B12" s="172" t="s">
        <v>733</v>
      </c>
      <c r="D12" s="49"/>
      <c r="E12" s="49"/>
      <c r="F12" s="1593"/>
      <c r="H12" s="179" t="s">
        <v>2746</v>
      </c>
      <c r="J12" s="50"/>
      <c r="M12" s="6"/>
      <c r="N12" s="67" t="s">
        <v>2000</v>
      </c>
      <c r="O12" s="2922"/>
      <c r="P12" s="1254">
        <f>O15</f>
        <v>0</v>
      </c>
    </row>
    <row r="13" spans="1:22" s="43" customFormat="1" ht="10.9" customHeight="1">
      <c r="A13" s="69"/>
      <c r="C13" s="113" t="s">
        <v>4198</v>
      </c>
      <c r="D13" s="53"/>
      <c r="E13" s="53"/>
      <c r="F13" s="53"/>
      <c r="G13" s="69"/>
      <c r="H13" s="179" t="s">
        <v>2746</v>
      </c>
      <c r="I13" s="69"/>
      <c r="J13" s="69"/>
      <c r="K13" s="69"/>
      <c r="L13" s="69"/>
      <c r="M13" s="69"/>
      <c r="N13" s="69"/>
      <c r="O13" s="2924"/>
      <c r="P13" s="1255">
        <f>+O29</f>
        <v>0</v>
      </c>
      <c r="R13" s="463"/>
      <c r="S13" s="163"/>
    </row>
    <row r="14" spans="1:22" s="43" customFormat="1" ht="10.9" customHeight="1">
      <c r="A14" s="2080" t="s">
        <v>3875</v>
      </c>
      <c r="B14" s="2080"/>
      <c r="C14" s="2080"/>
      <c r="D14" s="2080"/>
      <c r="E14" s="2080"/>
      <c r="F14" s="1597" t="s">
        <v>4201</v>
      </c>
      <c r="J14" s="1597" t="s">
        <v>4201</v>
      </c>
      <c r="K14" s="1597"/>
      <c r="O14" s="2085" t="s">
        <v>4201</v>
      </c>
      <c r="P14" s="2085"/>
      <c r="R14" s="463"/>
      <c r="S14" s="163"/>
    </row>
    <row r="15" spans="1:22" s="43" customFormat="1" ht="11.25" customHeight="1">
      <c r="A15" s="2081"/>
      <c r="B15" s="2081"/>
      <c r="C15" s="2081"/>
      <c r="D15" s="2081"/>
      <c r="E15" s="2081"/>
      <c r="F15" s="79">
        <f>SUM(F16:F27)</f>
        <v>0</v>
      </c>
      <c r="G15" s="2082" t="s">
        <v>3609</v>
      </c>
      <c r="H15" s="2083"/>
      <c r="I15" s="2084"/>
      <c r="J15" s="79">
        <f>SUM(J16:J27)</f>
        <v>0</v>
      </c>
      <c r="K15" s="2086" t="s">
        <v>3393</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1745</v>
      </c>
      <c r="K16" s="2076">
        <v>1</v>
      </c>
      <c r="L16" s="2077"/>
      <c r="M16" s="2077"/>
      <c r="N16" s="2077"/>
      <c r="O16" s="2078" t="s">
        <v>1745</v>
      </c>
      <c r="P16" s="2079"/>
      <c r="Q16" s="461" t="s">
        <v>1265</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2924</v>
      </c>
      <c r="K18" s="2064">
        <v>3</v>
      </c>
      <c r="L18" s="2065"/>
      <c r="M18" s="2065"/>
      <c r="N18" s="2065"/>
      <c r="O18" s="2068" t="s">
        <v>2924</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2924</v>
      </c>
      <c r="P19" s="2069"/>
      <c r="Q19" s="462"/>
      <c r="R19" s="163"/>
    </row>
    <row r="20" spans="1:19" s="43" customFormat="1" ht="24.75" customHeight="1">
      <c r="A20" s="2061">
        <v>5</v>
      </c>
      <c r="B20" s="2062"/>
      <c r="C20" s="2062"/>
      <c r="D20" s="2062"/>
      <c r="E20" s="2063"/>
      <c r="F20" s="936"/>
      <c r="G20" s="2061">
        <v>5</v>
      </c>
      <c r="H20" s="2062"/>
      <c r="I20" s="2063"/>
      <c r="J20" s="1313" t="s">
        <v>3610</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3611</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3612</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3613</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4230</v>
      </c>
      <c r="F28" s="2090" t="s">
        <v>4543</v>
      </c>
      <c r="G28" s="2090"/>
      <c r="H28" s="2090"/>
      <c r="I28" s="2090"/>
      <c r="J28" s="2090"/>
      <c r="K28" s="2090"/>
      <c r="L28" s="2090"/>
      <c r="M28" s="2090"/>
      <c r="N28" s="2090"/>
      <c r="O28" s="2090"/>
      <c r="P28" s="2090"/>
      <c r="Q28" s="112"/>
      <c r="R28" s="391"/>
    </row>
    <row r="29" spans="1:19" s="43" customFormat="1" ht="10.5" customHeight="1">
      <c r="A29" s="303" t="s">
        <v>4202</v>
      </c>
      <c r="B29" s="1316" t="s">
        <v>4203</v>
      </c>
      <c r="C29" s="1316"/>
      <c r="D29" s="1316"/>
      <c r="E29" s="2081"/>
      <c r="F29" s="2091" t="s">
        <v>4229</v>
      </c>
      <c r="G29" s="2091"/>
      <c r="H29" s="2091"/>
      <c r="I29" s="2091"/>
      <c r="J29" s="2091"/>
      <c r="K29" s="2091"/>
      <c r="L29" s="2091"/>
      <c r="M29" s="2091"/>
      <c r="N29" s="2092"/>
      <c r="O29" s="2071">
        <f>SUM(O30:O41)</f>
        <v>0</v>
      </c>
      <c r="P29" s="2072"/>
      <c r="Q29" s="463"/>
      <c r="R29" s="163"/>
    </row>
    <row r="30" spans="1:19" s="43" customFormat="1" ht="10.5" customHeight="1">
      <c r="A30" s="1299" t="s">
        <v>749</v>
      </c>
      <c r="B30" s="1300" t="s">
        <v>4204</v>
      </c>
      <c r="C30" s="1301"/>
      <c r="D30" s="1302"/>
      <c r="E30" s="1358">
        <f>$O$57</f>
        <v>10</v>
      </c>
      <c r="F30" s="2122" t="str">
        <f>$A$63</f>
        <v>The number of desirable activities are substanially more than the minimum needed for points.  There are no undesirable activities.</v>
      </c>
      <c r="G30" s="2123"/>
      <c r="H30" s="2123"/>
      <c r="I30" s="2123"/>
      <c r="J30" s="2123"/>
      <c r="K30" s="2123"/>
      <c r="L30" s="2123"/>
      <c r="M30" s="2123"/>
      <c r="N30" s="2124"/>
      <c r="O30" s="2059" t="s">
        <v>1745</v>
      </c>
      <c r="P30" s="2060"/>
      <c r="Q30" s="461"/>
      <c r="R30" s="163"/>
    </row>
    <row r="31" spans="1:19" s="43" customFormat="1" ht="10.5" customHeight="1">
      <c r="A31" s="1303" t="s">
        <v>1806</v>
      </c>
      <c r="B31" s="1033" t="s">
        <v>4205</v>
      </c>
      <c r="C31" s="1188"/>
      <c r="D31" s="1304"/>
      <c r="E31" s="1359">
        <f>$O$94</f>
        <v>2</v>
      </c>
      <c r="F31" s="2101" t="str">
        <f>$A$107</f>
        <v>This is not a gut rehab and the earthcraft programs cannot be implemented on this rehab.</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779</v>
      </c>
      <c r="B32" s="1033" t="s">
        <v>4206</v>
      </c>
      <c r="C32" s="1188"/>
      <c r="D32" s="1304"/>
      <c r="E32" s="1359">
        <f>$O$153</f>
        <v>0</v>
      </c>
      <c r="F32" s="2101" t="str">
        <f>$A$185</f>
        <v>We checked all City of Dublin schools and none of them meet the criteria for quality education.  Almost all the schools had scores less than 70 for the entire three years and some as low as 50.</v>
      </c>
      <c r="G32" s="2102"/>
      <c r="H32" s="2102"/>
      <c r="I32" s="2102"/>
      <c r="J32" s="2102"/>
      <c r="K32" s="2102"/>
      <c r="L32" s="2102"/>
      <c r="M32" s="2102"/>
      <c r="N32" s="2103"/>
      <c r="O32" s="2110" t="s">
        <v>2924</v>
      </c>
      <c r="P32" s="2111"/>
      <c r="Q32" s="2013"/>
      <c r="R32" s="2014"/>
      <c r="S32" s="2014"/>
    </row>
    <row r="33" spans="1:19" s="43" customFormat="1" ht="10.5" customHeight="1">
      <c r="A33" s="1303" t="s">
        <v>294</v>
      </c>
      <c r="B33" s="1033" t="s">
        <v>4207</v>
      </c>
      <c r="C33" s="1188"/>
      <c r="D33" s="1304"/>
      <c r="E33" s="1432">
        <f>$O$189</f>
        <v>0</v>
      </c>
      <c r="F33" s="2107" t="str">
        <f>$A$224</f>
        <v>The site is in Census Tract 9504 which is a QCT but there is no revitalization plan in effect.</v>
      </c>
      <c r="G33" s="2108"/>
      <c r="H33" s="2108"/>
      <c r="I33" s="2108"/>
      <c r="J33" s="2108"/>
      <c r="K33" s="2108"/>
      <c r="L33" s="2108"/>
      <c r="M33" s="2108"/>
      <c r="N33" s="2109"/>
      <c r="O33" s="2110" t="s">
        <v>2924</v>
      </c>
      <c r="P33" s="2111"/>
      <c r="Q33" s="2013"/>
      <c r="R33" s="2014"/>
      <c r="S33" s="2014"/>
    </row>
    <row r="34" spans="1:19" s="43" customFormat="1" ht="10.5" customHeight="1">
      <c r="A34" s="1309" t="s">
        <v>428</v>
      </c>
      <c r="B34" s="1310" t="s">
        <v>4208</v>
      </c>
      <c r="C34" s="1311"/>
      <c r="D34" s="1312"/>
      <c r="E34" s="1360" t="s">
        <v>1745</v>
      </c>
      <c r="F34" s="2104" t="str">
        <f>$A$266</f>
        <v>No Community Transformation plan was used.</v>
      </c>
      <c r="G34" s="2105"/>
      <c r="H34" s="2105"/>
      <c r="I34" s="2105"/>
      <c r="J34" s="2105"/>
      <c r="K34" s="2105"/>
      <c r="L34" s="2105"/>
      <c r="M34" s="2105"/>
      <c r="N34" s="2106"/>
      <c r="O34" s="2016"/>
      <c r="P34" s="2017"/>
      <c r="Q34" s="2013"/>
      <c r="R34" s="2014"/>
      <c r="S34" s="2014"/>
    </row>
    <row r="35" spans="1:19" s="43" customFormat="1" ht="10.5" customHeight="1">
      <c r="A35" s="1303" t="s">
        <v>365</v>
      </c>
      <c r="B35" s="1033" t="s">
        <v>3821</v>
      </c>
      <c r="C35" s="1188"/>
      <c r="D35" s="1304"/>
      <c r="E35" s="1359">
        <f>$O$286</f>
        <v>0</v>
      </c>
      <c r="F35" s="2101" t="str">
        <f>$A$290</f>
        <v>Not a HUD Choice Nighborhood nor purpose built Community</v>
      </c>
      <c r="G35" s="2102"/>
      <c r="H35" s="2102"/>
      <c r="I35" s="2102"/>
      <c r="J35" s="2102"/>
      <c r="K35" s="2102"/>
      <c r="L35" s="2102"/>
      <c r="M35" s="2102"/>
      <c r="N35" s="2103"/>
      <c r="O35" s="2016"/>
      <c r="P35" s="2017"/>
      <c r="Q35" s="2013"/>
      <c r="R35" s="2014"/>
      <c r="S35" s="2014"/>
    </row>
    <row r="36" spans="1:19" s="43" customFormat="1" ht="10.5" customHeight="1">
      <c r="A36" s="1303" t="s">
        <v>2266</v>
      </c>
      <c r="B36" s="1033" t="s">
        <v>4209</v>
      </c>
      <c r="C36" s="1188"/>
      <c r="D36" s="1304"/>
      <c r="E36" s="1360">
        <f>$O$337</f>
        <v>0</v>
      </c>
      <c r="F36" s="2101" t="str">
        <f>$A$342</f>
        <v>The priority Point will be claimed on The Village at Chickamauga II application and not on this application.</v>
      </c>
      <c r="G36" s="2102"/>
      <c r="H36" s="2102"/>
      <c r="I36" s="2102"/>
      <c r="J36" s="2102"/>
      <c r="K36" s="2102"/>
      <c r="L36" s="2102"/>
      <c r="M36" s="2102"/>
      <c r="N36" s="2103"/>
      <c r="O36" s="2016"/>
      <c r="P36" s="2017"/>
      <c r="Q36" s="2013"/>
      <c r="R36" s="2014"/>
      <c r="S36" s="2014"/>
    </row>
    <row r="37" spans="1:19" s="43" customFormat="1" ht="10.5" customHeight="1">
      <c r="A37" s="1303" t="s">
        <v>4519</v>
      </c>
      <c r="B37" s="1033" t="s">
        <v>4520</v>
      </c>
      <c r="C37" s="1188"/>
      <c r="D37" s="1304"/>
      <c r="E37" s="1360">
        <f>$O$294</f>
        <v>3</v>
      </c>
      <c r="F37" s="2107" t="str">
        <f>$A$312</f>
        <v>This is not a phased development and the last LIHTC project was funded in 2008, which was 2008-019</v>
      </c>
      <c r="G37" s="2108"/>
      <c r="H37" s="2108"/>
      <c r="I37" s="2108"/>
      <c r="J37" s="2108"/>
      <c r="K37" s="2108"/>
      <c r="L37" s="2108"/>
      <c r="M37" s="2108"/>
      <c r="N37" s="2109"/>
      <c r="O37" s="2016"/>
      <c r="P37" s="2017"/>
      <c r="Q37" s="2013"/>
      <c r="R37" s="2014"/>
      <c r="S37" s="2014"/>
    </row>
    <row r="38" spans="1:19" s="43" customFormat="1" ht="10.5" customHeight="1">
      <c r="A38" s="1309" t="s">
        <v>4155</v>
      </c>
      <c r="B38" s="1310" t="s">
        <v>4210</v>
      </c>
      <c r="C38" s="1311"/>
      <c r="D38" s="1312"/>
      <c r="E38" s="1431">
        <f>$O$346</f>
        <v>0</v>
      </c>
      <c r="F38" s="2104" t="str">
        <f>$A$358</f>
        <v>Dublin is not a GICH community nor designated military zone.</v>
      </c>
      <c r="G38" s="2105"/>
      <c r="H38" s="2105"/>
      <c r="I38" s="2105"/>
      <c r="J38" s="2105"/>
      <c r="K38" s="2105"/>
      <c r="L38" s="2105"/>
      <c r="M38" s="2105"/>
      <c r="N38" s="2106"/>
      <c r="O38" s="2016"/>
      <c r="P38" s="2017"/>
      <c r="Q38" s="2013"/>
      <c r="R38" s="2014"/>
      <c r="S38" s="2014"/>
    </row>
    <row r="39" spans="1:19" s="43" customFormat="1" ht="10.5" customHeight="1">
      <c r="A39" s="1303" t="s">
        <v>4156</v>
      </c>
      <c r="B39" s="1033" t="s">
        <v>4211</v>
      </c>
      <c r="C39" s="1188"/>
      <c r="D39" s="1304"/>
      <c r="E39" s="1359">
        <f>$O$362</f>
        <v>0</v>
      </c>
      <c r="F39" s="2101" t="str">
        <f>$A$392</f>
        <v>There is no favorable financing on this project.</v>
      </c>
      <c r="G39" s="2102"/>
      <c r="H39" s="2102"/>
      <c r="I39" s="2102"/>
      <c r="J39" s="2102"/>
      <c r="K39" s="2102"/>
      <c r="L39" s="2102"/>
      <c r="M39" s="2102"/>
      <c r="N39" s="2103"/>
      <c r="O39" s="2016"/>
      <c r="P39" s="2017"/>
      <c r="Q39" s="2013"/>
      <c r="R39" s="2014"/>
      <c r="S39" s="2014"/>
    </row>
    <row r="40" spans="1:19" s="43" customFormat="1" ht="10.5" customHeight="1">
      <c r="A40" s="1303" t="s">
        <v>4154</v>
      </c>
      <c r="B40" s="1033" t="s">
        <v>4212</v>
      </c>
      <c r="C40" s="1188"/>
      <c r="D40" s="1304"/>
      <c r="E40" s="1359">
        <f>$O$396</f>
        <v>0</v>
      </c>
      <c r="F40" s="2101" t="str">
        <f>$A$410</f>
        <v>No points are claimed under integrated supportative housing.  The project is already 100% filled and all tenants are expected to continue to live in the complex after rehab.</v>
      </c>
      <c r="G40" s="2102"/>
      <c r="H40" s="2102"/>
      <c r="I40" s="2102"/>
      <c r="J40" s="2102"/>
      <c r="K40" s="2102"/>
      <c r="L40" s="2102"/>
      <c r="M40" s="2102"/>
      <c r="N40" s="2103"/>
      <c r="O40" s="2016"/>
      <c r="P40" s="2017"/>
      <c r="Q40" s="2013"/>
      <c r="R40" s="2014"/>
      <c r="S40" s="2014"/>
    </row>
    <row r="41" spans="1:19" s="43" customFormat="1" ht="10.5" customHeight="1">
      <c r="A41" s="1305" t="s">
        <v>4157</v>
      </c>
      <c r="B41" s="1306" t="s">
        <v>4213</v>
      </c>
      <c r="C41" s="1307"/>
      <c r="D41" s="1308"/>
      <c r="E41" s="1361">
        <f>$O$414</f>
        <v>0</v>
      </c>
      <c r="F41" s="2112" t="str">
        <f>$A$429</f>
        <v>This is not a historic preservation project.</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747</v>
      </c>
      <c r="B43" s="109" t="s">
        <v>3614</v>
      </c>
      <c r="E43" s="58"/>
      <c r="G43" s="222"/>
      <c r="H43" s="53"/>
      <c r="I43" s="46" t="s">
        <v>3512</v>
      </c>
      <c r="M43" s="941">
        <v>3</v>
      </c>
      <c r="N43" s="7"/>
      <c r="O43" s="1194">
        <f>IF(AND(O47&gt;0,O51&gt;0),"AorB?",MIN($M$43,O47+O51))</f>
        <v>1</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1998</v>
      </c>
      <c r="B45" s="964" t="s">
        <v>2641</v>
      </c>
      <c r="E45" s="58"/>
      <c r="G45" s="90"/>
      <c r="H45" s="2125" t="s">
        <v>3615</v>
      </c>
      <c r="I45" s="2125"/>
      <c r="J45" s="966">
        <f>'Part VI-Revenues &amp; Expenses'!$O$60</f>
        <v>48</v>
      </c>
      <c r="K45" s="965"/>
      <c r="M45" s="941"/>
      <c r="N45" s="7"/>
      <c r="Q45" s="7"/>
      <c r="R45" s="391"/>
    </row>
    <row r="46" spans="1:19" s="105" customFormat="1" ht="13.5" customHeight="1">
      <c r="A46" s="143"/>
      <c r="B46" s="2039" t="s">
        <v>3616</v>
      </c>
      <c r="C46" s="2039"/>
      <c r="D46" s="2039"/>
      <c r="E46" s="2039"/>
      <c r="F46" s="2039"/>
      <c r="G46" s="934"/>
      <c r="H46" s="1093" t="s">
        <v>3617</v>
      </c>
      <c r="I46" s="1093" t="s">
        <v>3618</v>
      </c>
      <c r="J46" s="934"/>
      <c r="K46" s="1986" t="s">
        <v>3395</v>
      </c>
      <c r="L46" s="1986"/>
      <c r="M46" s="941"/>
      <c r="N46" s="7"/>
      <c r="Q46" s="7"/>
      <c r="R46" s="391"/>
    </row>
    <row r="47" spans="1:19" s="105" customFormat="1" ht="13.5" customHeight="1">
      <c r="B47" s="2039"/>
      <c r="C47" s="2039"/>
      <c r="D47" s="2039"/>
      <c r="E47" s="2039"/>
      <c r="F47" s="2039"/>
      <c r="G47" s="1941" t="s">
        <v>3744</v>
      </c>
      <c r="H47" s="1941"/>
      <c r="I47" s="1941"/>
      <c r="J47" s="1941"/>
      <c r="K47" s="969" t="s">
        <v>3617</v>
      </c>
      <c r="L47" s="969" t="s">
        <v>3618</v>
      </c>
      <c r="M47" s="955">
        <v>2</v>
      </c>
      <c r="N47" s="404" t="s">
        <v>1998</v>
      </c>
      <c r="O47" s="972">
        <f>SUM(O48:O49)</f>
        <v>1</v>
      </c>
      <c r="P47" s="972">
        <f>SUM(P48:P49)</f>
        <v>0</v>
      </c>
    </row>
    <row r="48" spans="1:19" s="441" customFormat="1" ht="13.5" customHeight="1">
      <c r="A48" s="440"/>
      <c r="B48" s="611" t="s">
        <v>2001</v>
      </c>
      <c r="C48" s="612">
        <v>0.15</v>
      </c>
      <c r="D48" s="144" t="s">
        <v>3394</v>
      </c>
      <c r="H48" s="2925">
        <v>8</v>
      </c>
      <c r="I48" s="1347"/>
      <c r="K48" s="613">
        <f>IF(OR('Part VI-Revenues &amp; Expenses'!$O$60="", 'Part VI-Revenues &amp; Expenses'!$O$60=0),0,H48/'Part VI-Revenues &amp; Expenses'!$O$60)</f>
        <v>0.16666666666666666</v>
      </c>
      <c r="L48" s="613">
        <f>IF(OR('Part VI-Revenues &amp; Expenses'!$O$60="", 'Part VI-Revenues &amp; Expenses'!$O$60=0),0,I48/'Part VI-Revenues &amp; Expenses'!$O$60)</f>
        <v>0</v>
      </c>
      <c r="M48" s="1123">
        <v>1</v>
      </c>
      <c r="N48" s="404" t="s">
        <v>2001</v>
      </c>
      <c r="O48" s="967">
        <f>IF(AND(K48 &gt;= $C$48,K48&lt;$C$49),$M48,0)</f>
        <v>1</v>
      </c>
      <c r="P48" s="967">
        <f>IF(AND(L48 &gt;= $C$48,L48&lt;$C$49),$M48,0)</f>
        <v>0</v>
      </c>
    </row>
    <row r="49" spans="1:18" s="441" customFormat="1" ht="13.5" customHeight="1">
      <c r="A49" s="619" t="s">
        <v>3365</v>
      </c>
      <c r="B49" s="611" t="s">
        <v>2003</v>
      </c>
      <c r="C49" s="612">
        <v>0.2</v>
      </c>
      <c r="D49" s="144" t="s">
        <v>3394</v>
      </c>
      <c r="H49" s="2926"/>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2003</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2000</v>
      </c>
      <c r="B51" s="964" t="s">
        <v>3677</v>
      </c>
      <c r="E51" s="442"/>
      <c r="H51" s="1941" t="s">
        <v>3679</v>
      </c>
      <c r="I51" s="1941"/>
      <c r="M51" s="955">
        <v>3</v>
      </c>
      <c r="N51" s="166" t="s">
        <v>2000</v>
      </c>
      <c r="O51" s="972">
        <f>IF(AND(O52="Yes", O53="Yes"),$M$51,0)</f>
        <v>0</v>
      </c>
      <c r="P51" s="972">
        <f>IF(AND(P52="Yes", P53="Yes"),$M$51,0)</f>
        <v>0</v>
      </c>
    </row>
    <row r="52" spans="1:18" s="441" customFormat="1" ht="13.5" customHeight="1">
      <c r="A52" s="440"/>
      <c r="B52" s="611" t="s">
        <v>2001</v>
      </c>
      <c r="C52" s="612">
        <v>0.3</v>
      </c>
      <c r="D52" s="144" t="s">
        <v>3678</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2001</v>
      </c>
      <c r="O52" s="967" t="str">
        <f>IF(K52 &gt;= $C$52,"Yes","No")</f>
        <v>No</v>
      </c>
      <c r="P52" s="967" t="str">
        <f>IF(L52 &gt;= $C$52,"Yes","No")</f>
        <v>No</v>
      </c>
    </row>
    <row r="53" spans="1:18" s="441" customFormat="1" ht="13.5" customHeight="1">
      <c r="A53" s="619"/>
      <c r="B53" s="611" t="s">
        <v>2003</v>
      </c>
      <c r="C53" s="938" t="s">
        <v>3996</v>
      </c>
      <c r="E53" s="1006"/>
      <c r="F53" s="938"/>
      <c r="I53" s="970"/>
      <c r="J53" s="970"/>
      <c r="K53" s="970"/>
      <c r="L53" s="970"/>
      <c r="M53" s="970"/>
      <c r="N53" s="404" t="s">
        <v>2003</v>
      </c>
      <c r="O53" s="2928" t="s">
        <v>4621</v>
      </c>
      <c r="P53" s="563"/>
    </row>
    <row r="54" spans="1:18" s="44" customFormat="1" ht="10.5" customHeight="1">
      <c r="A54" s="43"/>
      <c r="B54" s="100" t="s">
        <v>1879</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749</v>
      </c>
      <c r="B57" s="108" t="s">
        <v>4150</v>
      </c>
      <c r="D57" s="42"/>
      <c r="I57" s="1867" t="s">
        <v>3799</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929" t="s">
        <v>3010</v>
      </c>
      <c r="P59" s="561"/>
    </row>
    <row r="60" spans="1:18" s="44" customFormat="1" ht="12" customHeight="1">
      <c r="A60" s="143" t="s">
        <v>1998</v>
      </c>
      <c r="B60" s="172" t="s">
        <v>1887</v>
      </c>
      <c r="C60" s="4"/>
      <c r="D60" s="4"/>
      <c r="F60" s="307"/>
      <c r="G60" s="179" t="s">
        <v>2735</v>
      </c>
      <c r="I60" s="2070" t="s">
        <v>4232</v>
      </c>
      <c r="J60" s="2070"/>
      <c r="K60" s="2070"/>
      <c r="L60" s="2070"/>
      <c r="M60" s="75">
        <v>10</v>
      </c>
      <c r="N60" s="181" t="s">
        <v>1998</v>
      </c>
      <c r="O60" s="2930">
        <v>10</v>
      </c>
      <c r="P60" s="1076"/>
      <c r="Q60" s="1090" t="str">
        <f>IF(OR($O60=$M60,$O60=0,$O60=""),"","*CHECK!*")</f>
        <v/>
      </c>
      <c r="R60" s="1244" t="s">
        <v>2723</v>
      </c>
    </row>
    <row r="61" spans="1:18" s="44" customFormat="1" ht="12.6" customHeight="1">
      <c r="A61" s="143" t="s">
        <v>2000</v>
      </c>
      <c r="B61" s="172" t="s">
        <v>3876</v>
      </c>
      <c r="D61" s="42"/>
      <c r="F61" s="407"/>
      <c r="G61" s="179" t="s">
        <v>4028</v>
      </c>
      <c r="I61" s="2070"/>
      <c r="J61" s="2070"/>
      <c r="K61" s="2070"/>
      <c r="L61" s="2070"/>
      <c r="M61" s="1597" t="s">
        <v>1249</v>
      </c>
      <c r="N61" s="484" t="s">
        <v>2000</v>
      </c>
      <c r="O61" s="2931">
        <v>0</v>
      </c>
      <c r="P61" s="1218"/>
      <c r="R61" s="1244" t="s">
        <v>2723</v>
      </c>
    </row>
    <row r="62" spans="1:18" s="44" customFormat="1" ht="11.25" customHeight="1" thickBot="1">
      <c r="A62" s="43"/>
      <c r="B62" s="1332" t="s">
        <v>3784</v>
      </c>
      <c r="C62" s="43"/>
      <c r="D62" s="49"/>
      <c r="E62" s="49"/>
      <c r="F62" s="49"/>
      <c r="G62" s="49"/>
      <c r="H62" s="37"/>
      <c r="I62" s="2098"/>
      <c r="J62" s="2098"/>
      <c r="K62" s="2098"/>
      <c r="L62" s="2098"/>
      <c r="M62" s="47"/>
      <c r="N62" s="63"/>
      <c r="O62" s="3"/>
      <c r="P62" s="1587"/>
    </row>
    <row r="63" spans="1:18" s="44" customFormat="1" ht="21.75" customHeight="1" thickTop="1" thickBot="1">
      <c r="A63" s="2932" t="s">
        <v>4677</v>
      </c>
      <c r="B63" s="2933"/>
      <c r="C63" s="2933"/>
      <c r="D63" s="2933"/>
      <c r="E63" s="2933"/>
      <c r="F63" s="2933"/>
      <c r="G63" s="2933"/>
      <c r="H63" s="2933"/>
      <c r="I63" s="2933"/>
      <c r="J63" s="2933"/>
      <c r="K63" s="2933"/>
      <c r="L63" s="2933"/>
      <c r="M63" s="2933"/>
      <c r="N63" s="2933"/>
      <c r="O63" s="2933"/>
      <c r="P63" s="2934"/>
      <c r="Q63" s="1174" t="s">
        <v>1265</v>
      </c>
      <c r="R63" s="462"/>
    </row>
    <row r="64" spans="1:18" s="44" customFormat="1" ht="11.45" customHeight="1" thickTop="1">
      <c r="A64" s="43"/>
      <c r="B64" s="69" t="s">
        <v>1879</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1804</v>
      </c>
      <c r="B67" s="108" t="s">
        <v>2647</v>
      </c>
      <c r="D67" s="42"/>
      <c r="K67" s="1089" t="s">
        <v>1893</v>
      </c>
      <c r="M67" s="1585">
        <v>6</v>
      </c>
      <c r="N67" s="484"/>
      <c r="O67" s="1194">
        <f>IF($J$68="Flexible",MIN($M67,MAX(O80,O84)),IF(AND($J$68="Rural",O89&gt;0),MIN($M89,O89),0))</f>
        <v>0</v>
      </c>
      <c r="P67" s="1194">
        <f>IF($J$68="Flexible",MIN($M67,MAX(P80,P84)),IF(AND($J$68="Rural",P89&gt;0),MIN($M89,P89),0))</f>
        <v>0</v>
      </c>
      <c r="Q67" s="112" t="s">
        <v>443</v>
      </c>
      <c r="R67" s="1892" t="s">
        <v>4140</v>
      </c>
      <c r="S67" s="1892"/>
      <c r="T67" s="1892"/>
      <c r="U67" s="1892"/>
    </row>
    <row r="68" spans="1:21" s="44" customFormat="1" ht="17.25" customHeight="1">
      <c r="A68" s="158"/>
      <c r="B68" s="113" t="s">
        <v>3999</v>
      </c>
      <c r="D68" s="42"/>
      <c r="H68" s="172" t="s">
        <v>2811</v>
      </c>
      <c r="I68" s="539"/>
      <c r="J68" s="537" t="str">
        <f>'Part I-Project Information'!$H$100</f>
        <v>Rural</v>
      </c>
      <c r="K68" s="49"/>
      <c r="M68" s="1585"/>
      <c r="N68" s="484"/>
      <c r="O68" s="1085" t="s">
        <v>3620</v>
      </c>
      <c r="P68" s="1085" t="s">
        <v>3621</v>
      </c>
      <c r="Q68" s="112"/>
      <c r="R68" s="1892"/>
      <c r="S68" s="1892"/>
      <c r="T68" s="1892"/>
      <c r="U68" s="1892"/>
    </row>
    <row r="69" spans="1:21" s="44" customFormat="1" ht="11.25" customHeight="1">
      <c r="A69" s="158"/>
      <c r="B69" s="499" t="s">
        <v>2001</v>
      </c>
      <c r="C69" s="56" t="s">
        <v>3619</v>
      </c>
      <c r="D69" s="42"/>
      <c r="H69" s="46"/>
      <c r="I69" s="50"/>
      <c r="J69" s="49"/>
      <c r="K69" s="49"/>
      <c r="M69" s="1585"/>
      <c r="N69" s="484"/>
      <c r="O69" s="2929" t="s">
        <v>3013</v>
      </c>
      <c r="P69" s="561"/>
      <c r="Q69" s="112"/>
      <c r="R69" s="1892"/>
      <c r="S69" s="1892"/>
      <c r="T69" s="1892"/>
      <c r="U69" s="1892"/>
    </row>
    <row r="70" spans="1:21" s="44" customFormat="1" ht="11.25" customHeight="1">
      <c r="A70" s="158"/>
      <c r="B70" s="499" t="s">
        <v>2003</v>
      </c>
      <c r="C70" s="56" t="s">
        <v>3997</v>
      </c>
      <c r="D70" s="42"/>
      <c r="H70" s="46"/>
      <c r="I70" s="50"/>
      <c r="J70" s="49"/>
      <c r="K70" s="49"/>
      <c r="N70" s="484"/>
      <c r="O70" s="2935" t="s">
        <v>4621</v>
      </c>
      <c r="P70" s="562"/>
      <c r="Q70" s="112"/>
      <c r="R70" s="1892"/>
      <c r="S70" s="1892"/>
      <c r="T70" s="1892"/>
      <c r="U70" s="1892"/>
    </row>
    <row r="71" spans="1:21" s="44" customFormat="1" ht="11.25" customHeight="1">
      <c r="A71" s="158"/>
      <c r="B71" s="499" t="s">
        <v>2550</v>
      </c>
      <c r="C71" s="56" t="s">
        <v>3998</v>
      </c>
      <c r="D71" s="42"/>
      <c r="H71" s="46"/>
      <c r="I71" s="50"/>
      <c r="J71" s="49"/>
      <c r="K71" s="49"/>
      <c r="N71" s="484"/>
      <c r="O71" s="2928"/>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4006</v>
      </c>
      <c r="D73" s="42"/>
      <c r="F73" s="2007" t="s">
        <v>3745</v>
      </c>
      <c r="G73" s="2007"/>
      <c r="H73" s="2007"/>
      <c r="I73" s="2007"/>
      <c r="J73" s="2007" t="s">
        <v>3746</v>
      </c>
      <c r="K73" s="2007"/>
      <c r="L73" s="2007"/>
      <c r="M73" s="2007"/>
      <c r="N73" s="484"/>
      <c r="O73" s="2008" t="s">
        <v>4147</v>
      </c>
      <c r="P73" s="2009"/>
      <c r="Q73" s="112"/>
      <c r="R73" s="1892"/>
      <c r="S73" s="1892"/>
      <c r="T73" s="1892"/>
      <c r="U73" s="1892"/>
    </row>
    <row r="74" spans="1:21" s="44" customFormat="1" ht="12.75" customHeight="1">
      <c r="A74" s="158"/>
      <c r="C74" s="512" t="s">
        <v>4005</v>
      </c>
      <c r="D74" s="649"/>
      <c r="E74" s="278"/>
      <c r="F74" s="2936"/>
      <c r="G74" s="2937"/>
      <c r="H74" s="2011"/>
      <c r="I74" s="2012"/>
      <c r="J74" s="2936"/>
      <c r="K74" s="2937"/>
      <c r="L74" s="2011"/>
      <c r="M74" s="2012"/>
      <c r="N74" s="484"/>
      <c r="Q74" s="112"/>
      <c r="R74" s="1892"/>
      <c r="S74" s="1892"/>
      <c r="T74" s="1892"/>
      <c r="U74" s="1892"/>
    </row>
    <row r="75" spans="1:21" s="44" customFormat="1" ht="12.75" customHeight="1">
      <c r="B75" s="1187"/>
      <c r="D75" s="1272" t="s">
        <v>4007</v>
      </c>
      <c r="E75" s="278"/>
      <c r="F75" s="2938"/>
      <c r="G75" s="2939"/>
      <c r="H75" s="2129"/>
      <c r="I75" s="2130"/>
      <c r="J75" s="2938"/>
      <c r="K75" s="2939"/>
      <c r="L75" s="2129"/>
      <c r="M75" s="2130"/>
      <c r="N75" s="484"/>
      <c r="O75" s="2940"/>
      <c r="P75" s="1281"/>
      <c r="Q75" s="112"/>
      <c r="R75" s="1892"/>
      <c r="S75" s="1892"/>
      <c r="T75" s="1892"/>
      <c r="U75" s="1892"/>
    </row>
    <row r="76" spans="1:21" s="44" customFormat="1" ht="12.75" customHeight="1">
      <c r="A76" s="2015" t="s">
        <v>4197</v>
      </c>
      <c r="B76" s="2015"/>
      <c r="C76" s="512" t="s">
        <v>4148</v>
      </c>
      <c r="D76" s="649"/>
      <c r="E76" s="278"/>
      <c r="F76" s="2941"/>
      <c r="G76" s="2942"/>
      <c r="H76" s="2047"/>
      <c r="I76" s="2048"/>
      <c r="J76" s="2941"/>
      <c r="K76" s="2942"/>
      <c r="L76" s="2047"/>
      <c r="M76" s="2048"/>
      <c r="N76" s="484"/>
      <c r="O76" s="2943"/>
      <c r="P76" s="1280"/>
      <c r="Q76" s="112"/>
      <c r="R76" s="1892"/>
      <c r="S76" s="1892"/>
      <c r="T76" s="1892"/>
      <c r="U76" s="1892"/>
    </row>
    <row r="77" spans="1:21" s="44" customFormat="1" ht="12.75" customHeight="1">
      <c r="A77" s="2015"/>
      <c r="B77" s="2015"/>
      <c r="D77" s="1272" t="s">
        <v>4146</v>
      </c>
      <c r="E77" s="278"/>
      <c r="F77" s="2944"/>
      <c r="G77" s="2945"/>
      <c r="H77" s="2018"/>
      <c r="I77" s="2019"/>
      <c r="J77" s="2944"/>
      <c r="K77" s="2945"/>
      <c r="L77" s="2018"/>
      <c r="M77" s="2019"/>
      <c r="N77" s="484"/>
      <c r="O77" s="2946"/>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2802</v>
      </c>
      <c r="B79" s="108"/>
      <c r="D79" s="42"/>
      <c r="F79" s="62" t="s">
        <v>3785</v>
      </c>
      <c r="M79" s="1585"/>
      <c r="N79" s="1585"/>
      <c r="O79" s="1585"/>
      <c r="P79" s="1585"/>
      <c r="Q79" s="112"/>
      <c r="R79" s="1219"/>
      <c r="S79" s="1219"/>
      <c r="T79" s="1219"/>
      <c r="U79" s="1219"/>
    </row>
    <row r="80" spans="1:21" s="44" customFormat="1" ht="12.6" customHeight="1">
      <c r="A80" s="148" t="s">
        <v>1998</v>
      </c>
      <c r="B80" s="172" t="s">
        <v>3777</v>
      </c>
      <c r="D80" s="42"/>
      <c r="F80" s="46" t="s">
        <v>3889</v>
      </c>
      <c r="I80" s="2010" t="s">
        <v>4144</v>
      </c>
      <c r="J80" s="2010"/>
      <c r="K80" s="2010"/>
      <c r="L80" s="2010"/>
      <c r="M80" s="1585">
        <v>6</v>
      </c>
      <c r="N80" s="404" t="s">
        <v>1998</v>
      </c>
      <c r="O80" s="1088">
        <f>IF($J$68="Flexible",MIN($M80,O81+O82+O83),0)</f>
        <v>0</v>
      </c>
      <c r="P80" s="1088">
        <f>IF($J$68="Flexible",MIN($M80,P81+P82+P83),0)</f>
        <v>0</v>
      </c>
      <c r="Q80" s="112"/>
    </row>
    <row r="81" spans="1:18" s="427" customFormat="1" ht="23.25" customHeight="1">
      <c r="B81" s="456" t="s">
        <v>2001</v>
      </c>
      <c r="C81" s="1998" t="s">
        <v>4000</v>
      </c>
      <c r="D81" s="1998"/>
      <c r="E81" s="1998"/>
      <c r="F81" s="1998"/>
      <c r="G81" s="1998"/>
      <c r="H81" s="1998"/>
      <c r="I81" s="2010"/>
      <c r="J81" s="2010"/>
      <c r="K81" s="2010"/>
      <c r="L81" s="2010"/>
      <c r="M81" s="534">
        <v>5</v>
      </c>
      <c r="N81" s="499" t="s">
        <v>2001</v>
      </c>
      <c r="O81" s="2947"/>
      <c r="P81" s="913"/>
      <c r="Q81" s="1090" t="str">
        <f>IF(OR($O81=$M81,$O81=0,$O81=""),"","*CHECK!*")</f>
        <v/>
      </c>
      <c r="R81" s="1244" t="s">
        <v>2723</v>
      </c>
    </row>
    <row r="82" spans="1:18" s="427" customFormat="1" ht="12" customHeight="1">
      <c r="A82" s="619" t="s">
        <v>1364</v>
      </c>
      <c r="B82" s="456" t="s">
        <v>2003</v>
      </c>
      <c r="C82" s="405" t="s">
        <v>4001</v>
      </c>
      <c r="D82" s="405"/>
      <c r="E82" s="405"/>
      <c r="F82" s="405"/>
      <c r="G82" s="405"/>
      <c r="H82" s="405"/>
      <c r="I82" s="2010"/>
      <c r="J82" s="2010"/>
      <c r="K82" s="2010"/>
      <c r="L82" s="2010"/>
      <c r="M82" s="534">
        <v>4</v>
      </c>
      <c r="N82" s="499" t="s">
        <v>2003</v>
      </c>
      <c r="O82" s="2930"/>
      <c r="P82" s="1076"/>
      <c r="Q82" s="1090" t="str">
        <f t="shared" ref="Q82:Q83" si="0">IF(OR($O82=$M82,$O82=0,$O82=""),"","*CHECK!*")</f>
        <v/>
      </c>
      <c r="R82" s="1244" t="s">
        <v>2723</v>
      </c>
    </row>
    <row r="83" spans="1:18" s="427" customFormat="1" ht="12" customHeight="1">
      <c r="B83" s="456" t="s">
        <v>2550</v>
      </c>
      <c r="C83" s="405" t="s">
        <v>3778</v>
      </c>
      <c r="D83" s="405"/>
      <c r="E83" s="405"/>
      <c r="F83" s="405"/>
      <c r="G83" s="484" t="s">
        <v>4145</v>
      </c>
      <c r="H83" s="1278" t="str">
        <f>'Part I-Project Information'!$H$78</f>
        <v>Family</v>
      </c>
      <c r="I83" s="2948" t="s">
        <v>3775</v>
      </c>
      <c r="J83" s="2949"/>
      <c r="K83" s="2949"/>
      <c r="L83" s="2950" t="s">
        <v>3776</v>
      </c>
      <c r="M83" s="534">
        <v>1</v>
      </c>
      <c r="N83" s="499" t="s">
        <v>2550</v>
      </c>
      <c r="O83" s="2931"/>
      <c r="P83" s="1218"/>
      <c r="Q83" s="1090" t="str">
        <f t="shared" si="0"/>
        <v/>
      </c>
      <c r="R83" s="1244" t="s">
        <v>2723</v>
      </c>
    </row>
    <row r="84" spans="1:18" s="427" customFormat="1" ht="12" customHeight="1">
      <c r="A84" s="148" t="s">
        <v>2000</v>
      </c>
      <c r="B84" s="1243" t="s">
        <v>3779</v>
      </c>
      <c r="C84" s="677"/>
      <c r="D84" s="677"/>
      <c r="E84" s="677"/>
      <c r="F84" s="1213" t="s">
        <v>3888</v>
      </c>
      <c r="I84" s="2951"/>
      <c r="J84" s="2952"/>
      <c r="K84" s="2952"/>
      <c r="L84" s="2953"/>
      <c r="M84" s="1034">
        <v>3</v>
      </c>
      <c r="N84" s="166" t="s">
        <v>2000</v>
      </c>
      <c r="O84" s="1088">
        <f>IF($J$68="Flexible",MIN($M84,O85+O86+O87),0)</f>
        <v>0</v>
      </c>
      <c r="P84" s="1088">
        <f>IF($J$68="Flexible",MIN($M84,P85+P86+P87),0)</f>
        <v>0</v>
      </c>
      <c r="Q84" s="535"/>
      <c r="R84" s="403"/>
    </row>
    <row r="85" spans="1:18" s="427" customFormat="1" ht="12" customHeight="1">
      <c r="A85" s="143"/>
      <c r="B85" s="456" t="s">
        <v>2001</v>
      </c>
      <c r="C85" s="2041" t="s">
        <v>4002</v>
      </c>
      <c r="D85" s="2041"/>
      <c r="E85" s="2041"/>
      <c r="F85" s="2041"/>
      <c r="G85" s="2041"/>
      <c r="H85" s="2042"/>
      <c r="I85" s="2954" t="s">
        <v>3622</v>
      </c>
      <c r="J85" s="2955"/>
      <c r="K85" s="2955"/>
      <c r="L85" s="2956"/>
      <c r="M85" s="534">
        <v>3</v>
      </c>
      <c r="N85" s="499" t="s">
        <v>2001</v>
      </c>
      <c r="O85" s="2947"/>
      <c r="P85" s="913"/>
      <c r="Q85" s="1090" t="str">
        <f>IF(OR($O85=$M85,$O85=0,$O85=""),"","*CHECK!*")</f>
        <v/>
      </c>
      <c r="R85" s="1244" t="s">
        <v>2723</v>
      </c>
    </row>
    <row r="86" spans="1:18" s="44" customFormat="1" ht="12" customHeight="1">
      <c r="A86" s="1214" t="s">
        <v>1364</v>
      </c>
      <c r="B86" s="456" t="s">
        <v>2003</v>
      </c>
      <c r="C86" s="2041" t="s">
        <v>4003</v>
      </c>
      <c r="D86" s="2041"/>
      <c r="E86" s="2041"/>
      <c r="F86" s="2041"/>
      <c r="G86" s="2041"/>
      <c r="H86" s="2042"/>
      <c r="I86" s="2957"/>
      <c r="J86" s="2958"/>
      <c r="K86" s="2958"/>
      <c r="L86" s="2959"/>
      <c r="M86" s="534">
        <v>2</v>
      </c>
      <c r="N86" s="499" t="s">
        <v>2003</v>
      </c>
      <c r="O86" s="2930"/>
      <c r="P86" s="1076"/>
      <c r="Q86" s="1090" t="str">
        <f t="shared" ref="Q86:Q87" si="1">IF(OR($O86=$M86,$O86=0,$O86=""),"","*CHECK!*")</f>
        <v/>
      </c>
      <c r="R86" s="1244" t="s">
        <v>2723</v>
      </c>
    </row>
    <row r="87" spans="1:18" s="44" customFormat="1" ht="14.25" customHeight="1">
      <c r="A87" s="1214" t="s">
        <v>1364</v>
      </c>
      <c r="B87" s="456" t="s">
        <v>2550</v>
      </c>
      <c r="C87" s="1998" t="s">
        <v>4004</v>
      </c>
      <c r="D87" s="1998"/>
      <c r="E87" s="1998"/>
      <c r="F87" s="1998"/>
      <c r="G87" s="1998"/>
      <c r="H87" s="2004"/>
      <c r="I87" s="2954" t="s">
        <v>3623</v>
      </c>
      <c r="J87" s="2955"/>
      <c r="K87" s="2955"/>
      <c r="L87" s="2956"/>
      <c r="M87" s="534">
        <v>1</v>
      </c>
      <c r="N87" s="499" t="s">
        <v>2550</v>
      </c>
      <c r="O87" s="2931"/>
      <c r="P87" s="1218"/>
      <c r="Q87" s="1090" t="str">
        <f t="shared" si="1"/>
        <v/>
      </c>
      <c r="R87" s="1244" t="s">
        <v>2723</v>
      </c>
    </row>
    <row r="88" spans="1:18" s="44" customFormat="1" ht="12.6" customHeight="1">
      <c r="A88" s="538" t="s">
        <v>2804</v>
      </c>
      <c r="B88" s="172"/>
      <c r="E88" s="42"/>
      <c r="I88" s="2960"/>
      <c r="J88" s="2961"/>
      <c r="K88" s="2961"/>
      <c r="L88" s="2962"/>
      <c r="M88" s="75"/>
      <c r="N88" s="75"/>
      <c r="O88" s="75"/>
      <c r="P88" s="75"/>
      <c r="Q88" s="391"/>
      <c r="R88" s="391"/>
    </row>
    <row r="89" spans="1:18" s="105" customFormat="1" ht="12" customHeight="1">
      <c r="A89" s="143"/>
      <c r="B89" s="456" t="s">
        <v>1235</v>
      </c>
      <c r="C89" s="172" t="s">
        <v>3624</v>
      </c>
      <c r="D89" s="172"/>
      <c r="E89" s="172"/>
      <c r="F89" s="172"/>
      <c r="G89" s="172"/>
      <c r="H89" s="172"/>
      <c r="I89" s="172"/>
      <c r="J89" s="172"/>
      <c r="K89" s="172"/>
      <c r="L89" s="172"/>
      <c r="M89" s="75">
        <v>2</v>
      </c>
      <c r="N89" s="499" t="s">
        <v>1235</v>
      </c>
      <c r="O89" s="2963"/>
      <c r="P89" s="911"/>
      <c r="Q89" s="1090" t="str">
        <f>IF(OR($O89=$M89,$O89=0,$O89=""),"","*CHECK!*")</f>
        <v/>
      </c>
      <c r="R89" s="1244" t="s">
        <v>2723</v>
      </c>
    </row>
    <row r="90" spans="1:18" s="44" customFormat="1" ht="12.6" customHeight="1">
      <c r="A90" s="37" t="s">
        <v>4149</v>
      </c>
      <c r="B90" s="172"/>
      <c r="E90" s="42"/>
      <c r="K90" s="49"/>
      <c r="M90" s="75"/>
      <c r="N90" s="75"/>
      <c r="O90" s="75"/>
      <c r="P90" s="75"/>
      <c r="Q90" s="391"/>
      <c r="R90" s="391"/>
    </row>
    <row r="91" spans="1:18" s="105" customFormat="1" ht="11.45" customHeight="1">
      <c r="A91" s="43"/>
      <c r="B91" s="100" t="s">
        <v>1879</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1806</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4012</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4"/>
      <c r="J96" s="2965"/>
      <c r="K96" s="2965"/>
      <c r="L96" s="2966"/>
      <c r="O96" s="2046"/>
      <c r="P96" s="2046"/>
    </row>
    <row r="97" spans="1:18" s="44" customFormat="1" ht="13.5" customHeight="1">
      <c r="B97" s="172" t="s">
        <v>2811</v>
      </c>
      <c r="G97" s="42"/>
      <c r="H97" s="42"/>
      <c r="I97" s="1215" t="str">
        <f>'Part I-Project Information'!$H$100</f>
        <v>Rural</v>
      </c>
      <c r="K97" s="28"/>
      <c r="M97" s="1585"/>
      <c r="N97" s="410"/>
      <c r="O97" s="2046"/>
      <c r="P97" s="2046"/>
    </row>
    <row r="98" spans="1:18" s="44" customFormat="1" ht="13.5" customHeight="1">
      <c r="B98" s="172" t="s">
        <v>4009</v>
      </c>
      <c r="G98" s="42"/>
      <c r="H98" s="42"/>
      <c r="I98" s="654"/>
      <c r="K98" s="28"/>
      <c r="M98" s="1585"/>
      <c r="N98" s="410"/>
      <c r="O98" s="2046"/>
      <c r="P98" s="2046"/>
    </row>
    <row r="99" spans="1:18" s="1190" customFormat="1" ht="13.5" customHeight="1">
      <c r="C99" s="1186" t="s">
        <v>4014</v>
      </c>
      <c r="I99" s="2967"/>
      <c r="J99" s="555"/>
      <c r="K99" s="403"/>
      <c r="O99" s="2046"/>
      <c r="P99" s="2046"/>
    </row>
    <row r="100" spans="1:18" s="1190" customFormat="1" ht="13.5" customHeight="1">
      <c r="C100" s="1186" t="s">
        <v>4015</v>
      </c>
      <c r="I100" s="2968"/>
      <c r="J100" s="557"/>
      <c r="K100" s="403"/>
      <c r="O100" s="2043" t="s">
        <v>4023</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1998</v>
      </c>
      <c r="B102" s="184" t="s">
        <v>3906</v>
      </c>
      <c r="D102" s="34"/>
      <c r="K102" s="2044" t="str">
        <f>IF(OR(AND(O102&gt;0,O103&gt;0),AND(O103&gt;0,O104&gt;0),AND(O102&gt;0,O104&gt;0)),"Choose A, B, or C.  See instructions.",IF(AND(O104&gt;0,O105&gt;0),"Choose A or B when choosing D.  See instructions.",""))</f>
        <v/>
      </c>
      <c r="L102" s="2044"/>
      <c r="M102" s="534">
        <v>2</v>
      </c>
      <c r="N102" s="484" t="s">
        <v>1998</v>
      </c>
      <c r="O102" s="2947"/>
      <c r="P102" s="913"/>
      <c r="Q102" s="1090" t="str">
        <f>IF(OR($O102=$M102,$O102=0,$O102=""),"","*CHECK!*")</f>
        <v/>
      </c>
      <c r="R102" s="1244" t="s">
        <v>2723</v>
      </c>
    </row>
    <row r="103" spans="1:18" ht="11.45" customHeight="1">
      <c r="A103" s="143" t="s">
        <v>2000</v>
      </c>
      <c r="B103" s="184" t="s">
        <v>312</v>
      </c>
      <c r="D103" s="34"/>
      <c r="E103" s="34"/>
      <c r="K103" s="2044"/>
      <c r="L103" s="2044"/>
      <c r="M103" s="534">
        <v>1</v>
      </c>
      <c r="N103" s="484" t="s">
        <v>2000</v>
      </c>
      <c r="O103" s="2930">
        <v>1</v>
      </c>
      <c r="P103" s="1076"/>
      <c r="Q103" s="1090" t="str">
        <f t="shared" ref="Q103:Q105" si="2">IF(OR($O103=$M103,$O103=0,$O103=""),"","*CHECK!*")</f>
        <v/>
      </c>
      <c r="R103" s="1244" t="s">
        <v>2723</v>
      </c>
    </row>
    <row r="104" spans="1:18" ht="11.45" customHeight="1">
      <c r="A104" s="143" t="s">
        <v>756</v>
      </c>
      <c r="B104" s="184" t="s">
        <v>3907</v>
      </c>
      <c r="D104" s="34"/>
      <c r="E104" s="34"/>
      <c r="F104" s="34"/>
      <c r="K104" s="2044"/>
      <c r="L104" s="2044"/>
      <c r="M104" s="534">
        <v>3</v>
      </c>
      <c r="N104" s="484" t="s">
        <v>756</v>
      </c>
      <c r="O104" s="2930"/>
      <c r="P104" s="1076"/>
      <c r="Q104" s="1090" t="str">
        <f t="shared" si="2"/>
        <v/>
      </c>
      <c r="R104" s="1244" t="s">
        <v>2723</v>
      </c>
    </row>
    <row r="105" spans="1:18" ht="11.45" customHeight="1">
      <c r="A105" s="143" t="s">
        <v>2130</v>
      </c>
      <c r="B105" s="184" t="s">
        <v>3808</v>
      </c>
      <c r="D105" s="34"/>
      <c r="E105" s="34"/>
      <c r="F105" s="139" t="s">
        <v>4025</v>
      </c>
      <c r="J105" s="2969" t="s">
        <v>4024</v>
      </c>
      <c r="K105" s="2044"/>
      <c r="L105" s="2044"/>
      <c r="M105" s="534">
        <v>1</v>
      </c>
      <c r="N105" s="484" t="s">
        <v>2130</v>
      </c>
      <c r="O105" s="2931">
        <v>1</v>
      </c>
      <c r="P105" s="1218"/>
      <c r="Q105" s="1090" t="str">
        <f t="shared" si="2"/>
        <v/>
      </c>
      <c r="R105" s="1244" t="s">
        <v>2723</v>
      </c>
    </row>
    <row r="106" spans="1:18" s="105" customFormat="1" ht="11.45" customHeight="1" thickBot="1">
      <c r="A106" s="43"/>
      <c r="B106" s="1332" t="s">
        <v>3784</v>
      </c>
      <c r="C106" s="43"/>
      <c r="D106" s="49"/>
      <c r="E106" s="49"/>
      <c r="F106" s="49"/>
      <c r="G106" s="49"/>
      <c r="K106" s="37"/>
      <c r="M106" s="47"/>
      <c r="N106" s="6"/>
      <c r="O106" s="3"/>
      <c r="P106" s="1585"/>
    </row>
    <row r="107" spans="1:18" s="44" customFormat="1" ht="21.75" customHeight="1" thickTop="1" thickBot="1">
      <c r="A107" s="2970" t="s">
        <v>4678</v>
      </c>
      <c r="B107" s="2971"/>
      <c r="C107" s="2971"/>
      <c r="D107" s="2971"/>
      <c r="E107" s="2971"/>
      <c r="F107" s="2971"/>
      <c r="G107" s="2971"/>
      <c r="H107" s="2971"/>
      <c r="I107" s="2971"/>
      <c r="J107" s="2971"/>
      <c r="K107" s="2971"/>
      <c r="L107" s="2971"/>
      <c r="M107" s="2971"/>
      <c r="N107" s="2971"/>
      <c r="O107" s="2971"/>
      <c r="P107" s="2972"/>
      <c r="Q107" s="1174" t="s">
        <v>1265</v>
      </c>
    </row>
    <row r="108" spans="1:18" s="44" customFormat="1" ht="11.25" customHeight="1" thickTop="1">
      <c r="B108" s="100" t="s">
        <v>1879</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534</v>
      </c>
      <c r="B111" s="109" t="s">
        <v>4026</v>
      </c>
      <c r="D111" s="40"/>
      <c r="E111" s="37"/>
      <c r="F111" s="941"/>
      <c r="G111" s="941"/>
      <c r="H111" s="941"/>
      <c r="I111" s="62" t="s">
        <v>3785</v>
      </c>
      <c r="J111" s="956"/>
      <c r="K111" s="956"/>
      <c r="L111" s="956"/>
      <c r="M111" s="1585">
        <v>3</v>
      </c>
      <c r="N111" s="941"/>
      <c r="O111" s="1194">
        <f>MIN($M$115,O113+O115)</f>
        <v>0</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1998</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1998</v>
      </c>
      <c r="O113" s="2973"/>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2000</v>
      </c>
      <c r="B115" s="921" t="s">
        <v>4029</v>
      </c>
      <c r="C115" s="95"/>
      <c r="D115" s="1191"/>
      <c r="E115" s="1430" t="s">
        <v>4258</v>
      </c>
      <c r="G115" s="116"/>
      <c r="I115" s="1350"/>
      <c r="J115" s="42"/>
      <c r="L115" s="391" t="str">
        <f>IF(OR($O115&lt;=$M115,$O115=0,$O115=""),"","* * Check Score! * *")</f>
        <v/>
      </c>
      <c r="M115" s="1040">
        <v>3</v>
      </c>
      <c r="N115" s="484" t="s">
        <v>2000</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974" t="s">
        <v>4622</v>
      </c>
      <c r="I116" s="1352"/>
      <c r="J116" s="1352"/>
      <c r="K116" s="1352"/>
      <c r="L116" s="1352"/>
      <c r="M116" s="1593"/>
      <c r="N116" s="181"/>
      <c r="Q116" s="1169"/>
      <c r="R116" s="1169"/>
      <c r="S116" s="1169"/>
      <c r="T116" s="1169"/>
    </row>
    <row r="117" spans="1:20" s="37" customFormat="1" ht="10.5" customHeight="1">
      <c r="A117" s="65"/>
      <c r="C117" s="1291" t="s">
        <v>4183</v>
      </c>
      <c r="D117" s="2975"/>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2001</v>
      </c>
      <c r="C119" s="172" t="s">
        <v>4030</v>
      </c>
      <c r="D119" s="95"/>
      <c r="F119" s="53"/>
      <c r="G119" s="53"/>
      <c r="H119" s="95"/>
      <c r="I119" s="95"/>
      <c r="J119" s="95"/>
      <c r="K119" s="95"/>
      <c r="L119" s="391" t="str">
        <f>IF(OR($O119=$M119,$O119=0,$O119=""),"","* * Check Score! * *")</f>
        <v/>
      </c>
      <c r="M119" s="1123">
        <v>2</v>
      </c>
      <c r="N119" s="1189" t="s">
        <v>2001</v>
      </c>
      <c r="O119" s="2973"/>
      <c r="P119" s="1231"/>
      <c r="Q119" s="1090" t="str">
        <f>IF(OR($O119=$M119,$O119=0,$O119=""),"","*CHECK!*")</f>
        <v/>
      </c>
      <c r="R119" s="1244" t="s">
        <v>2723</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978"/>
      <c r="P120" s="566"/>
      <c r="Q120" s="1169"/>
      <c r="R120" s="1169"/>
      <c r="S120" s="1169"/>
      <c r="T120" s="1169"/>
    </row>
    <row r="121" spans="1:20" s="105" customFormat="1" ht="10.5" customHeight="1">
      <c r="A121" s="185"/>
      <c r="B121" s="942"/>
      <c r="C121" s="53" t="s">
        <v>4032</v>
      </c>
      <c r="D121" s="179" t="s">
        <v>4153</v>
      </c>
      <c r="F121" s="53"/>
      <c r="G121" s="53"/>
      <c r="H121" s="2979"/>
      <c r="I121" s="2979"/>
      <c r="J121" s="2979"/>
      <c r="K121" s="2979"/>
      <c r="L121" s="2979"/>
      <c r="M121" s="2979"/>
      <c r="N121" s="2979"/>
      <c r="O121" s="2979"/>
      <c r="P121" s="2979"/>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3812</v>
      </c>
      <c r="O122" s="2980"/>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3813</v>
      </c>
      <c r="O123" s="2928"/>
      <c r="P123" s="563"/>
      <c r="Q123" s="1169"/>
      <c r="R123" s="1169"/>
      <c r="S123" s="1169"/>
      <c r="T123" s="1169"/>
    </row>
    <row r="124" spans="1:20" s="56" customFormat="1" ht="10.5" customHeight="1">
      <c r="A124" s="65"/>
      <c r="C124" s="56" t="s">
        <v>4180</v>
      </c>
      <c r="D124" s="430"/>
      <c r="E124" s="53"/>
      <c r="F124" s="53"/>
      <c r="G124" s="53"/>
      <c r="H124" s="430"/>
      <c r="J124" s="430"/>
      <c r="L124" s="2002" t="s">
        <v>3849</v>
      </c>
      <c r="M124" s="2002"/>
      <c r="N124" s="2002"/>
      <c r="O124" s="2021" t="s">
        <v>3848</v>
      </c>
      <c r="P124" s="2021"/>
      <c r="Q124" s="53"/>
    </row>
    <row r="125" spans="1:20" s="56" customFormat="1" ht="10.5" customHeight="1">
      <c r="A125" s="65"/>
      <c r="B125" s="390"/>
      <c r="C125" s="2981"/>
      <c r="D125" s="2982"/>
      <c r="E125" s="2982"/>
      <c r="F125" s="2982"/>
      <c r="G125" s="2982"/>
      <c r="H125" s="2982"/>
      <c r="I125" s="2982"/>
      <c r="J125" s="2982"/>
      <c r="K125" s="2983"/>
      <c r="L125" s="2984" t="s">
        <v>4623</v>
      </c>
      <c r="M125" s="2984"/>
      <c r="N125" s="2984"/>
      <c r="O125" s="2985">
        <v>0</v>
      </c>
      <c r="P125" s="2985"/>
      <c r="Q125" s="1207" t="str">
        <f>IF(O125&gt;15, "Too much!","")</f>
        <v/>
      </c>
    </row>
    <row r="126" spans="1:20" s="56" customFormat="1" ht="10.5" customHeight="1">
      <c r="A126" s="65"/>
      <c r="B126" s="402"/>
      <c r="C126" s="2986"/>
      <c r="D126" s="2987"/>
      <c r="E126" s="2987"/>
      <c r="F126" s="2987"/>
      <c r="G126" s="2987"/>
      <c r="H126" s="2987"/>
      <c r="I126" s="2987"/>
      <c r="J126" s="2987"/>
      <c r="K126" s="2988"/>
      <c r="L126" s="2989" t="s">
        <v>4623</v>
      </c>
      <c r="M126" s="2989"/>
      <c r="N126" s="2989"/>
      <c r="O126" s="2990">
        <v>0</v>
      </c>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3729</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3729</v>
      </c>
      <c r="M128" s="2994"/>
      <c r="N128" s="2994"/>
      <c r="O128" s="2995"/>
      <c r="P128" s="2995"/>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3812</v>
      </c>
      <c r="O129" s="2929"/>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3813</v>
      </c>
      <c r="O130" s="2928"/>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29"/>
      <c r="H132" s="561"/>
      <c r="I132" s="956" t="s">
        <v>4217</v>
      </c>
      <c r="L132" s="65"/>
      <c r="M132" s="65"/>
      <c r="N132" s="65"/>
      <c r="O132" s="2929"/>
      <c r="P132" s="561"/>
      <c r="Q132" s="53"/>
    </row>
    <row r="133" spans="1:21" s="56" customFormat="1" ht="10.5" customHeight="1">
      <c r="A133" s="65"/>
      <c r="B133" s="65"/>
      <c r="C133" s="956" t="s">
        <v>4544</v>
      </c>
      <c r="D133" s="65"/>
      <c r="E133" s="65"/>
      <c r="F133" s="65"/>
      <c r="G133" s="2935"/>
      <c r="H133" s="562"/>
      <c r="I133" s="53" t="s">
        <v>4218</v>
      </c>
      <c r="L133" s="65"/>
      <c r="M133" s="65"/>
      <c r="N133" s="65"/>
      <c r="O133" s="2935"/>
      <c r="P133" s="562"/>
      <c r="Q133" s="53"/>
    </row>
    <row r="134" spans="1:21" s="56" customFormat="1" ht="10.5" customHeight="1">
      <c r="A134" s="65"/>
      <c r="B134" s="65"/>
      <c r="C134" s="956" t="s">
        <v>4216</v>
      </c>
      <c r="D134" s="65"/>
      <c r="E134" s="65"/>
      <c r="F134" s="65"/>
      <c r="G134" s="2935" t="s">
        <v>3010</v>
      </c>
      <c r="H134" s="562"/>
      <c r="I134" s="956" t="s">
        <v>4219</v>
      </c>
      <c r="L134" s="65"/>
      <c r="M134" s="65"/>
      <c r="N134" s="65"/>
      <c r="O134" s="2935" t="s">
        <v>3010</v>
      </c>
      <c r="P134" s="562"/>
      <c r="Q134" s="53"/>
    </row>
    <row r="135" spans="1:21" s="56" customFormat="1" ht="10.5" customHeight="1">
      <c r="A135" s="65"/>
      <c r="B135" s="65"/>
      <c r="C135" s="2996" t="s">
        <v>4627</v>
      </c>
      <c r="D135" s="2997"/>
      <c r="E135" s="2997"/>
      <c r="F135" s="2998"/>
      <c r="G135" s="2928" t="s">
        <v>3010</v>
      </c>
      <c r="H135" s="1292"/>
      <c r="I135" s="2996" t="s">
        <v>4628</v>
      </c>
      <c r="J135" s="2997"/>
      <c r="K135" s="2997"/>
      <c r="L135" s="2997"/>
      <c r="M135" s="2997"/>
      <c r="N135" s="2998"/>
      <c r="O135" s="2928" t="s">
        <v>3010</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2003</v>
      </c>
      <c r="C137" s="1131" t="s">
        <v>3850</v>
      </c>
      <c r="D137" s="144"/>
      <c r="F137" s="144"/>
      <c r="G137" s="144"/>
      <c r="H137" s="144"/>
      <c r="I137" s="144"/>
      <c r="J137" s="144"/>
      <c r="K137" s="144"/>
      <c r="L137" s="391" t="str">
        <f>IF(OR($O137=$M137,$O137=0,$O137=""),"","* * Check Score! * *")</f>
        <v/>
      </c>
      <c r="M137" s="628">
        <v>1</v>
      </c>
      <c r="N137" s="1189" t="s">
        <v>2003</v>
      </c>
      <c r="O137" s="2973"/>
      <c r="P137" s="1231"/>
      <c r="Q137" s="1090" t="str">
        <f>IF(OR($O137=$M137,$O137=0,$O137=""),"","*CHECK!*")</f>
        <v/>
      </c>
      <c r="R137" s="1244" t="s">
        <v>2723</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978"/>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2450</v>
      </c>
      <c r="N139" s="401" t="s">
        <v>3812</v>
      </c>
      <c r="O139" s="2980"/>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3813</v>
      </c>
      <c r="O140" s="2935"/>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3814</v>
      </c>
      <c r="O141" s="2935"/>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3816</v>
      </c>
      <c r="O142" s="2935"/>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3817</v>
      </c>
      <c r="O143" s="2928"/>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2451</v>
      </c>
      <c r="O144" s="2999" t="s">
        <v>3010</v>
      </c>
      <c r="P144" s="560"/>
      <c r="Q144" s="53"/>
    </row>
    <row r="145" spans="1:18" s="56" customFormat="1" ht="10.5" customHeight="1">
      <c r="A145" s="65"/>
      <c r="B145" s="456"/>
      <c r="C145" s="56" t="s">
        <v>3865</v>
      </c>
      <c r="D145" s="430"/>
      <c r="E145" s="53"/>
      <c r="F145" s="53"/>
      <c r="G145" s="56" t="s">
        <v>4186</v>
      </c>
      <c r="H145" s="430"/>
      <c r="M145" s="59"/>
      <c r="N145" s="59"/>
      <c r="O145" s="59"/>
      <c r="P145" s="59"/>
      <c r="Q145" s="53"/>
    </row>
    <row r="146" spans="1:18" s="56" customFormat="1" ht="10.5" customHeight="1">
      <c r="A146" s="65"/>
      <c r="B146" s="390"/>
      <c r="C146" s="2981"/>
      <c r="D146" s="2982"/>
      <c r="E146" s="2982"/>
      <c r="F146" s="2983"/>
      <c r="G146" s="2981"/>
      <c r="H146" s="2982"/>
      <c r="I146" s="2982"/>
      <c r="J146" s="2982"/>
      <c r="K146" s="2982"/>
      <c r="L146" s="2982"/>
      <c r="M146" s="2982"/>
      <c r="N146" s="2982"/>
      <c r="O146" s="2982"/>
      <c r="P146" s="2983"/>
      <c r="Q146" s="53"/>
    </row>
    <row r="147" spans="1:18" s="56" customFormat="1" ht="10.5" customHeight="1">
      <c r="A147" s="65"/>
      <c r="B147" s="402"/>
      <c r="C147" s="2986"/>
      <c r="D147" s="2987"/>
      <c r="E147" s="2987"/>
      <c r="F147" s="2988"/>
      <c r="G147" s="2986"/>
      <c r="H147" s="2987"/>
      <c r="I147" s="2987"/>
      <c r="J147" s="2987"/>
      <c r="K147" s="2987"/>
      <c r="L147" s="2987"/>
      <c r="M147" s="2987"/>
      <c r="N147" s="2987"/>
      <c r="O147" s="2987"/>
      <c r="P147" s="2988"/>
      <c r="Q147" s="53"/>
    </row>
    <row r="148" spans="1:18" s="56" customFormat="1" ht="10.5" customHeight="1">
      <c r="A148" s="2039" t="s">
        <v>4220</v>
      </c>
      <c r="B148" s="2039"/>
      <c r="C148" s="2986"/>
      <c r="D148" s="2987"/>
      <c r="E148" s="2987"/>
      <c r="F148" s="2988"/>
      <c r="G148" s="2986"/>
      <c r="H148" s="2987"/>
      <c r="I148" s="2987"/>
      <c r="J148" s="2987"/>
      <c r="K148" s="2987"/>
      <c r="L148" s="2987"/>
      <c r="M148" s="2987"/>
      <c r="N148" s="2987"/>
      <c r="O148" s="2987"/>
      <c r="P148" s="2988"/>
      <c r="Q148" s="53"/>
    </row>
    <row r="149" spans="1:18" s="56" customFormat="1" ht="10.5" customHeight="1">
      <c r="A149" s="2039"/>
      <c r="B149" s="2039"/>
      <c r="C149" s="2991"/>
      <c r="D149" s="2992"/>
      <c r="E149" s="2992"/>
      <c r="F149" s="2993"/>
      <c r="G149" s="2991"/>
      <c r="H149" s="2992"/>
      <c r="I149" s="2992"/>
      <c r="J149" s="2992"/>
      <c r="K149" s="2992"/>
      <c r="L149" s="2992"/>
      <c r="M149" s="2992"/>
      <c r="N149" s="2992"/>
      <c r="O149" s="2992"/>
      <c r="P149" s="2993"/>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779</v>
      </c>
      <c r="B153" s="109" t="s">
        <v>4008</v>
      </c>
      <c r="C153" s="1588"/>
      <c r="D153" s="1588"/>
      <c r="E153" s="1588"/>
      <c r="F153" s="1588"/>
      <c r="G153" s="1588"/>
      <c r="H153" s="1588"/>
      <c r="I153" s="1588"/>
      <c r="J153" s="1588"/>
      <c r="K153" s="1588"/>
      <c r="L153" s="1588"/>
      <c r="M153" s="941">
        <v>5</v>
      </c>
      <c r="N153" s="77"/>
      <c r="O153" s="1194">
        <f>O155+O171</f>
        <v>0</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1998</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3000" t="s">
        <v>3013</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4222</v>
      </c>
      <c r="C158" s="2020"/>
      <c r="D158" s="2020"/>
      <c r="E158" s="53" t="s">
        <v>3856</v>
      </c>
      <c r="F158" s="105"/>
      <c r="G158" s="53"/>
      <c r="H158" s="105"/>
      <c r="I158" s="2975"/>
      <c r="J158" s="2976"/>
      <c r="K158" s="2976"/>
      <c r="L158" s="2977"/>
    </row>
    <row r="159" spans="1:18" s="44" customFormat="1" ht="11.25" customHeight="1">
      <c r="A159" s="143"/>
      <c r="B159" s="2020"/>
      <c r="C159" s="2020"/>
      <c r="D159" s="2020"/>
      <c r="E159" s="41" t="s">
        <v>3858</v>
      </c>
      <c r="F159" s="391"/>
      <c r="G159" s="105"/>
      <c r="H159" s="105"/>
      <c r="I159" s="41"/>
      <c r="J159" s="1603"/>
      <c r="K159" s="1603"/>
      <c r="L159" s="1603"/>
      <c r="M159" s="105"/>
      <c r="N159" s="1222"/>
      <c r="O159" s="3000" t="s">
        <v>4621</v>
      </c>
      <c r="P159" s="559"/>
      <c r="Q159" s="138"/>
    </row>
    <row r="160" spans="1:18" s="44" customFormat="1" ht="12" customHeight="1">
      <c r="A160" s="43"/>
      <c r="C160" s="1588"/>
      <c r="D160" s="1588"/>
      <c r="E160" s="53" t="s">
        <v>2923</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3854</v>
      </c>
      <c r="I161" s="2126" t="s">
        <v>3900</v>
      </c>
      <c r="J161" s="2127"/>
      <c r="K161" s="2127"/>
      <c r="L161" s="2128"/>
      <c r="M161" s="2036" t="s">
        <v>3853</v>
      </c>
      <c r="N161" s="2036"/>
      <c r="O161" s="2036" t="s">
        <v>3857</v>
      </c>
      <c r="P161" s="2036"/>
      <c r="Q161" s="138"/>
    </row>
    <row r="162" spans="1:24" s="44" customFormat="1" ht="13.5" customHeight="1">
      <c r="A162" s="143"/>
      <c r="B162" s="584" t="s">
        <v>3851</v>
      </c>
      <c r="C162" s="1603"/>
      <c r="D162" s="2037" t="s">
        <v>3855</v>
      </c>
      <c r="E162" s="2037"/>
      <c r="F162" s="2037"/>
      <c r="G162" s="1607" t="s">
        <v>3419</v>
      </c>
      <c r="H162" s="2035"/>
      <c r="I162" s="544">
        <v>2014</v>
      </c>
      <c r="J162" s="544">
        <v>2015</v>
      </c>
      <c r="K162" s="544">
        <v>2016</v>
      </c>
      <c r="L162" s="544">
        <v>2017</v>
      </c>
      <c r="M162" s="2036"/>
      <c r="N162" s="2036"/>
      <c r="O162" s="2036"/>
      <c r="P162" s="2036"/>
      <c r="Q162" s="2058" t="s">
        <v>3852</v>
      </c>
      <c r="R162" s="2058"/>
    </row>
    <row r="163" spans="1:24" s="44" customFormat="1" ht="13.5" customHeight="1">
      <c r="A163" s="390" t="s">
        <v>2450</v>
      </c>
      <c r="B163" s="626" t="s">
        <v>4047</v>
      </c>
      <c r="D163" s="3001"/>
      <c r="E163" s="3002"/>
      <c r="F163" s="3003"/>
      <c r="G163" s="3004"/>
      <c r="H163" s="3005"/>
      <c r="I163" s="3006"/>
      <c r="J163" s="3007"/>
      <c r="K163" s="3007"/>
      <c r="L163" s="3008"/>
      <c r="M163" s="2032" t="str">
        <f>IF(I163+J163+K163+L163=0,"",AVERAGE(I163,J163,K163,L163))</f>
        <v/>
      </c>
      <c r="N163" s="2033"/>
      <c r="O163" s="662" t="str">
        <f>IF(M163="","",IF(M163&gt;Q163,"Yes",IF(M163&lt;Q163,"No","")))</f>
        <v/>
      </c>
      <c r="Q163" s="2142">
        <v>73.400000000000006</v>
      </c>
      <c r="R163" s="2143"/>
      <c r="S163" s="55"/>
    </row>
    <row r="164" spans="1:24" s="44" customFormat="1" ht="13.5" customHeight="1">
      <c r="A164" s="402" t="s">
        <v>2451</v>
      </c>
      <c r="B164" s="626" t="s">
        <v>4221</v>
      </c>
      <c r="D164" s="3009"/>
      <c r="E164" s="3010"/>
      <c r="F164" s="3011"/>
      <c r="G164" s="3012"/>
      <c r="H164" s="3013"/>
      <c r="I164" s="3014"/>
      <c r="J164" s="3015"/>
      <c r="K164" s="3015"/>
      <c r="L164" s="3016"/>
      <c r="M164" s="2030" t="str">
        <f>IF(I164+J164+K164+L164=0,"",AVERAGE(I164,J164,K164,L164))</f>
        <v/>
      </c>
      <c r="N164" s="2031"/>
      <c r="O164" s="663" t="str">
        <f>IF(M164="","",IF(M164&gt;Q164,"Yes",IF(M164&lt;Q164,"No","")))</f>
        <v/>
      </c>
      <c r="Q164" s="2142">
        <v>72.099999999999994</v>
      </c>
      <c r="R164" s="2143"/>
      <c r="S164" s="55"/>
    </row>
    <row r="165" spans="1:24" s="44" customFormat="1" ht="13.5" customHeight="1">
      <c r="A165" s="390" t="s">
        <v>2452</v>
      </c>
      <c r="B165" s="626" t="s">
        <v>4045</v>
      </c>
      <c r="D165" s="3017"/>
      <c r="E165" s="3018"/>
      <c r="F165" s="3019"/>
      <c r="G165" s="3020"/>
      <c r="H165" s="3021"/>
      <c r="I165" s="3022"/>
      <c r="J165" s="3023"/>
      <c r="K165" s="3023"/>
      <c r="L165" s="3024"/>
      <c r="M165" s="2028" t="str">
        <f>IF(I165+J165+K165+L165=0,"",AVERAGE(I165,J165,K165,L165))</f>
        <v/>
      </c>
      <c r="N165" s="2029"/>
      <c r="O165" s="664" t="str">
        <f>IF(M165="","",IF(M165&gt;Q165,"Yes",IF(M165&lt;Q165,"No","")))</f>
        <v/>
      </c>
      <c r="Q165" s="2142">
        <v>73.3</v>
      </c>
      <c r="R165" s="2143"/>
      <c r="S165" s="55"/>
    </row>
    <row r="166" spans="1:24" s="44" customFormat="1" ht="1.5" customHeight="1">
      <c r="A166" s="390"/>
      <c r="B166" s="626"/>
    </row>
    <row r="167" spans="1:24" s="44" customFormat="1" ht="13.5" customHeight="1">
      <c r="A167" s="401" t="s">
        <v>2453</v>
      </c>
      <c r="B167" s="1032" t="s">
        <v>4047</v>
      </c>
      <c r="D167" s="443" t="str">
        <f>IF(D163="","",D163)</f>
        <v/>
      </c>
      <c r="G167" s="544" t="str">
        <f t="shared" ref="G167:H169" si="4">IF(G163="","",G163)</f>
        <v/>
      </c>
      <c r="H167" s="544" t="str">
        <f t="shared" si="4"/>
        <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2454</v>
      </c>
      <c r="B168" s="1032" t="s">
        <v>4046</v>
      </c>
      <c r="D168" s="443" t="str">
        <f>IF(D164="","",D164)</f>
        <v/>
      </c>
      <c r="G168" s="544" t="str">
        <f t="shared" si="4"/>
        <v/>
      </c>
      <c r="H168" s="544" t="str">
        <f t="shared" si="4"/>
        <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2470</v>
      </c>
      <c r="B169" s="1032" t="s">
        <v>4045</v>
      </c>
      <c r="D169" s="443" t="str">
        <f>IF(D165="","",D165)</f>
        <v/>
      </c>
      <c r="G169" s="544" t="str">
        <f t="shared" si="4"/>
        <v/>
      </c>
      <c r="H169" s="544" t="str">
        <f t="shared" si="4"/>
        <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2000</v>
      </c>
      <c r="B171" s="10" t="s">
        <v>4049</v>
      </c>
      <c r="C171" s="95"/>
      <c r="D171" s="1191"/>
      <c r="E171" s="1191"/>
      <c r="F171" s="62" t="s">
        <v>3412</v>
      </c>
      <c r="H171" s="41" t="s">
        <v>3901</v>
      </c>
      <c r="M171" s="445">
        <v>2</v>
      </c>
      <c r="N171" s="181"/>
      <c r="O171" s="1194">
        <f>IF(AND(I180="Yes",I181="Yes"),$H$181,IF(AND(I180="Yes",I181="No"),$H$180,0))</f>
        <v>0</v>
      </c>
      <c r="P171" s="1194">
        <f>IF(AND(J180="Yes",J181="Yes"),$H$181,IF(AND(J180="Yes",J181="No"),$H$180,0))</f>
        <v>0</v>
      </c>
      <c r="Q171" s="112"/>
      <c r="R171" s="1192"/>
    </row>
    <row r="172" spans="1:24" s="56" customFormat="1" ht="15" customHeight="1">
      <c r="E172" s="2026" t="s">
        <v>4224</v>
      </c>
      <c r="F172" s="2026" t="s">
        <v>3687</v>
      </c>
      <c r="G172" s="2175" t="s">
        <v>3420</v>
      </c>
      <c r="H172" s="2175"/>
      <c r="I172" s="2175"/>
      <c r="J172" s="2175"/>
      <c r="K172" s="2175"/>
      <c r="L172" s="2175"/>
      <c r="M172" s="2175"/>
      <c r="N172" s="2175"/>
      <c r="P172" s="1224"/>
      <c r="R172" s="430" t="s">
        <v>2850</v>
      </c>
      <c r="T172" s="2155" t="str">
        <f>'Part I-Project Information'!$F$38</f>
        <v>Dublin</v>
      </c>
      <c r="U172" s="2156"/>
      <c r="V172" s="2156"/>
      <c r="W172" s="2156"/>
      <c r="X172" s="2157"/>
    </row>
    <row r="173" spans="1:24" s="56" customFormat="1" ht="13.5" customHeight="1">
      <c r="A173" s="48"/>
      <c r="B173" s="2183" t="s">
        <v>4052</v>
      </c>
      <c r="C173" s="2183"/>
      <c r="D173" s="2183"/>
      <c r="E173" s="2027"/>
      <c r="F173" s="2027"/>
      <c r="G173" s="2174" t="s">
        <v>4051</v>
      </c>
      <c r="H173" s="2174"/>
      <c r="I173" s="2174"/>
      <c r="J173" s="2174"/>
      <c r="K173" s="2174"/>
      <c r="L173" s="2174"/>
      <c r="M173" s="2174"/>
      <c r="N173" s="2174"/>
      <c r="O173" s="2026" t="s">
        <v>3688</v>
      </c>
      <c r="P173" s="2026"/>
      <c r="R173" s="59" t="s">
        <v>2851</v>
      </c>
      <c r="T173" s="2152" t="str">
        <f>'Part I-Project Information'!$J$39</f>
        <v>Laurens</v>
      </c>
      <c r="U173" s="2153"/>
      <c r="V173" s="2153"/>
      <c r="W173" s="2153"/>
      <c r="X173" s="2154"/>
    </row>
    <row r="174" spans="1:24" s="56" customFormat="1" ht="13.5" customHeight="1">
      <c r="A174" s="48"/>
      <c r="B174" s="2179" t="s">
        <v>3860</v>
      </c>
      <c r="C174" s="2179"/>
      <c r="D174" s="2179"/>
      <c r="E174" s="1600">
        <v>3000</v>
      </c>
      <c r="F174" s="1600">
        <v>6000</v>
      </c>
      <c r="G174" s="2172">
        <v>15000</v>
      </c>
      <c r="H174" s="2172"/>
      <c r="I174" s="2172"/>
      <c r="J174" s="2172"/>
      <c r="K174" s="2172"/>
      <c r="L174" s="2172"/>
      <c r="M174" s="2172"/>
      <c r="N174" s="2172"/>
      <c r="O174" s="2172">
        <v>20000</v>
      </c>
      <c r="P174" s="2172"/>
      <c r="R174" s="443" t="s">
        <v>2852</v>
      </c>
      <c r="T174" s="2152" t="str">
        <f>'Part I-Project Information'!$O$40</f>
        <v>Laurens Co.</v>
      </c>
      <c r="U174" s="2153"/>
      <c r="V174" s="2153"/>
      <c r="W174" s="2153"/>
      <c r="X174" s="2154"/>
    </row>
    <row r="175" spans="1:24" s="37" customFormat="1" ht="13.5" customHeight="1">
      <c r="A175" s="48"/>
      <c r="B175" s="2184" t="s">
        <v>4050</v>
      </c>
      <c r="C175" s="2184"/>
      <c r="D175" s="2184"/>
      <c r="E175" s="1601">
        <v>4500</v>
      </c>
      <c r="F175" s="1601">
        <v>9000</v>
      </c>
      <c r="G175" s="2173">
        <v>22500</v>
      </c>
      <c r="H175" s="2173"/>
      <c r="I175" s="2173"/>
      <c r="J175" s="2173"/>
      <c r="K175" s="2173"/>
      <c r="L175" s="2173"/>
      <c r="M175" s="2173"/>
      <c r="N175" s="2173"/>
      <c r="O175" s="2173">
        <v>30000</v>
      </c>
      <c r="P175" s="2173"/>
      <c r="R175" s="41" t="s">
        <v>3894</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3895</v>
      </c>
      <c r="E177" s="958"/>
      <c r="F177" s="958"/>
      <c r="G177" s="958"/>
      <c r="I177" s="3025"/>
      <c r="J177" s="1256"/>
      <c r="R177" s="56" t="s">
        <v>3653</v>
      </c>
      <c r="T177" s="2180" t="str">
        <f>'Part I-Project Information'!$K$40</f>
        <v>Rural</v>
      </c>
      <c r="U177" s="2181"/>
      <c r="V177" s="2181"/>
      <c r="W177" s="2181"/>
      <c r="X177" s="2182"/>
    </row>
    <row r="178" spans="1:24" s="56" customFormat="1" ht="13.5" customHeight="1">
      <c r="A178" s="961"/>
      <c r="B178" s="443" t="s">
        <v>3652</v>
      </c>
      <c r="H178" s="960" t="str">
        <f>IF(I178&lt;I177,"Threshold not met!","")</f>
        <v/>
      </c>
      <c r="I178" s="3026"/>
      <c r="J178" s="1257"/>
      <c r="K178" s="1226" t="str">
        <f>IF(J178&lt;J177,"Threshold not met!","")</f>
        <v/>
      </c>
    </row>
    <row r="179" spans="1:24" s="56" customFormat="1" ht="8.25" customHeight="1">
      <c r="A179" s="961"/>
      <c r="B179" s="443"/>
    </row>
    <row r="180" spans="1:24" s="56" customFormat="1" ht="11.25" customHeight="1">
      <c r="B180" s="611" t="s">
        <v>2001</v>
      </c>
      <c r="C180" s="37" t="s">
        <v>4223</v>
      </c>
      <c r="D180" s="1160"/>
      <c r="E180" s="1160"/>
      <c r="F180" s="1160"/>
      <c r="G180" s="1160"/>
      <c r="H180" s="1276" t="s">
        <v>2001</v>
      </c>
      <c r="I180" s="1273" t="str">
        <f>IF(OR(I177="",I178=""),"",IF(I178&gt;=I177,"Yes","No"))</f>
        <v/>
      </c>
      <c r="J180" s="1273" t="str">
        <f>IF(OR(J177="",J178=""),"",IF(J178&gt;=J177,"Yes","No"))</f>
        <v/>
      </c>
    </row>
    <row r="181" spans="1:24" s="56" customFormat="1" ht="11.25" customHeight="1">
      <c r="A181" s="1161" t="s">
        <v>1364</v>
      </c>
      <c r="B181" s="611" t="s">
        <v>2003</v>
      </c>
      <c r="C181" s="37" t="s">
        <v>4053</v>
      </c>
      <c r="D181" s="1354"/>
      <c r="E181" s="1354"/>
      <c r="F181" s="1354"/>
      <c r="H181" s="1276" t="s">
        <v>2003</v>
      </c>
      <c r="I181" s="1274" t="str">
        <f>IF(OR(I177="",I178=""),"",IF(I178&gt;=HLOOKUP(I177,$E$174:$P$175,2),"Yes","No"))</f>
        <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1.75" customHeight="1" thickTop="1" thickBot="1">
      <c r="A185" s="2932" t="s">
        <v>4708</v>
      </c>
      <c r="B185" s="2933"/>
      <c r="C185" s="2933"/>
      <c r="D185" s="2933"/>
      <c r="E185" s="2933"/>
      <c r="F185" s="2933"/>
      <c r="G185" s="2933"/>
      <c r="H185" s="2933"/>
      <c r="I185" s="2933"/>
      <c r="J185" s="2933"/>
      <c r="K185" s="2933"/>
      <c r="L185" s="2933"/>
      <c r="M185" s="2933"/>
      <c r="N185" s="2933"/>
      <c r="O185" s="2933"/>
      <c r="P185" s="2934"/>
      <c r="Q185" s="1174" t="s">
        <v>1265</v>
      </c>
    </row>
    <row r="186" spans="1:24" s="44" customFormat="1" ht="10.5" customHeight="1" thickTop="1">
      <c r="A186" s="43"/>
      <c r="B186" s="88" t="s">
        <v>1879</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4233</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1962" t="s">
        <v>4188</v>
      </c>
      <c r="D193" s="1962"/>
      <c r="E193" s="1962"/>
      <c r="F193" s="1962"/>
      <c r="G193" s="1962"/>
      <c r="H193" s="1962"/>
      <c r="I193" s="1962"/>
      <c r="J193" s="1102" t="s">
        <v>2450</v>
      </c>
      <c r="K193" s="3027"/>
      <c r="L193" s="1343"/>
      <c r="M193" s="3028" t="s">
        <v>3890</v>
      </c>
      <c r="N193" s="3029"/>
      <c r="O193" s="3029"/>
      <c r="P193" s="3030"/>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2451</v>
      </c>
      <c r="C195" s="2020" t="s">
        <v>3631</v>
      </c>
      <c r="D195" s="2020"/>
      <c r="E195" s="2020"/>
      <c r="F195" s="2020"/>
      <c r="G195" s="2020"/>
      <c r="J195" s="390" t="s">
        <v>2451</v>
      </c>
      <c r="K195" s="3031"/>
      <c r="L195" s="569"/>
      <c r="M195" s="3028" t="s">
        <v>3890</v>
      </c>
      <c r="N195" s="3029"/>
      <c r="O195" s="3029"/>
      <c r="P195" s="3030"/>
    </row>
    <row r="196" spans="1:25" s="406" customFormat="1" ht="10.5" customHeight="1">
      <c r="B196" s="402" t="s">
        <v>2452</v>
      </c>
      <c r="C196" s="1007" t="s">
        <v>2842</v>
      </c>
      <c r="D196" s="1007"/>
      <c r="E196" s="1007"/>
      <c r="F196" s="1007"/>
      <c r="G196" s="1007"/>
      <c r="H196" s="1007"/>
      <c r="J196" s="402" t="s">
        <v>2452</v>
      </c>
      <c r="K196" s="3031"/>
      <c r="L196" s="569"/>
      <c r="M196" s="3028" t="s">
        <v>3890</v>
      </c>
      <c r="N196" s="3029"/>
      <c r="O196" s="3029"/>
      <c r="P196" s="3030"/>
    </row>
    <row r="197" spans="1:25" s="406" customFormat="1" ht="10.5" customHeight="1">
      <c r="B197" s="402" t="s">
        <v>2453</v>
      </c>
      <c r="C197" s="1033" t="s">
        <v>4064</v>
      </c>
      <c r="D197" s="144"/>
      <c r="E197" s="144"/>
      <c r="F197" s="144"/>
      <c r="G197" s="144"/>
      <c r="H197" s="144"/>
      <c r="J197" s="402" t="s">
        <v>2453</v>
      </c>
      <c r="K197" s="3031"/>
      <c r="L197" s="569"/>
      <c r="M197" s="3028" t="s">
        <v>3890</v>
      </c>
      <c r="N197" s="3029"/>
      <c r="O197" s="3029"/>
      <c r="P197" s="3030"/>
    </row>
    <row r="198" spans="1:25" s="406" customFormat="1" ht="10.5" customHeight="1">
      <c r="B198" s="1102"/>
      <c r="D198" s="144" t="s">
        <v>4231</v>
      </c>
      <c r="E198" s="144"/>
      <c r="H198" s="144"/>
      <c r="J198" s="1102"/>
      <c r="K198" s="3032"/>
      <c r="L198" s="571"/>
    </row>
    <row r="199" spans="1:25" s="406" customFormat="1" ht="10.5" customHeight="1">
      <c r="B199" s="402" t="s">
        <v>2454</v>
      </c>
      <c r="C199" s="1007" t="s">
        <v>4054</v>
      </c>
      <c r="D199" s="1007"/>
      <c r="E199" s="1007"/>
      <c r="F199" s="1007"/>
      <c r="G199" s="1007"/>
      <c r="H199" s="1007"/>
      <c r="J199" s="402" t="s">
        <v>2454</v>
      </c>
      <c r="K199" s="3031"/>
      <c r="L199" s="569"/>
      <c r="M199" s="3028" t="s">
        <v>3890</v>
      </c>
      <c r="N199" s="3029"/>
      <c r="O199" s="3029"/>
      <c r="P199" s="3030"/>
    </row>
    <row r="200" spans="1:25" s="406" customFormat="1" ht="10.5" customHeight="1">
      <c r="B200" s="1102" t="s">
        <v>2470</v>
      </c>
      <c r="C200" s="1007" t="s">
        <v>2843</v>
      </c>
      <c r="D200" s="1007"/>
      <c r="E200" s="1007"/>
      <c r="F200" s="1007"/>
      <c r="G200" s="1007"/>
      <c r="J200" s="1102" t="s">
        <v>2470</v>
      </c>
      <c r="K200" s="3031"/>
      <c r="L200" s="569"/>
      <c r="M200" s="3028" t="s">
        <v>3890</v>
      </c>
      <c r="N200" s="3029"/>
      <c r="O200" s="3029"/>
      <c r="P200" s="3030"/>
    </row>
    <row r="201" spans="1:25" s="406" customFormat="1" ht="10.5" customHeight="1">
      <c r="B201" s="1102" t="s">
        <v>2471</v>
      </c>
      <c r="C201" s="1007" t="s">
        <v>4055</v>
      </c>
      <c r="D201" s="1007"/>
      <c r="E201" s="1007"/>
      <c r="F201" s="1007"/>
      <c r="J201" s="1102" t="s">
        <v>2471</v>
      </c>
      <c r="K201" s="3031"/>
      <c r="L201" s="569"/>
    </row>
    <row r="202" spans="1:25" s="406" customFormat="1" ht="10.5" customHeight="1">
      <c r="B202" s="402"/>
      <c r="C202" s="1007"/>
      <c r="D202" s="1096" t="s">
        <v>4056</v>
      </c>
      <c r="E202" s="1007"/>
      <c r="F202" s="3033"/>
      <c r="G202" s="1345"/>
      <c r="I202" s="1096" t="s">
        <v>4057</v>
      </c>
      <c r="K202" s="3034"/>
      <c r="L202" s="1344"/>
    </row>
    <row r="203" spans="1:25" s="406" customFormat="1" ht="10.5" customHeight="1">
      <c r="B203" s="1102" t="s">
        <v>2472</v>
      </c>
      <c r="C203" s="1007" t="s">
        <v>3811</v>
      </c>
      <c r="D203" s="1007"/>
      <c r="E203" s="1007"/>
      <c r="F203" s="1007"/>
      <c r="J203" s="1102" t="s">
        <v>2472</v>
      </c>
      <c r="K203" s="3027"/>
      <c r="L203" s="1343"/>
    </row>
    <row r="204" spans="1:25" ht="3" customHeight="1">
      <c r="A204" s="532"/>
      <c r="B204" s="495"/>
      <c r="D204" s="614"/>
      <c r="E204" s="495"/>
      <c r="G204" s="623"/>
      <c r="H204" s="624"/>
      <c r="I204" s="448"/>
      <c r="K204" s="910"/>
      <c r="N204" s="28"/>
      <c r="O204" s="28"/>
      <c r="P204" s="28"/>
    </row>
    <row r="205" spans="1:25" ht="11.25" customHeight="1">
      <c r="B205" s="1599" t="s">
        <v>4189</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1998</v>
      </c>
      <c r="B207" s="184" t="s">
        <v>4058</v>
      </c>
      <c r="H207" s="164"/>
      <c r="I207" s="164"/>
      <c r="M207" s="445">
        <v>5</v>
      </c>
      <c r="N207" s="48" t="s">
        <v>1998</v>
      </c>
      <c r="O207" s="575">
        <f>SUM(O208:O209)</f>
        <v>0</v>
      </c>
      <c r="P207" s="575">
        <f>SUM(P208:P209)</f>
        <v>0</v>
      </c>
      <c r="Q207" s="1099"/>
      <c r="X207" s="388"/>
      <c r="Y207" s="390"/>
    </row>
    <row r="208" spans="1:25" ht="21.75" customHeight="1">
      <c r="A208" s="532"/>
      <c r="B208" s="621" t="s">
        <v>2001</v>
      </c>
      <c r="C208" s="2020" t="s">
        <v>3810</v>
      </c>
      <c r="D208" s="2020"/>
      <c r="E208" s="2020"/>
      <c r="F208" s="2020"/>
      <c r="G208" s="2020"/>
      <c r="H208" s="2020"/>
      <c r="I208" s="2020"/>
      <c r="J208" s="2020"/>
      <c r="K208" s="2020"/>
      <c r="L208" s="391" t="str">
        <f>IF(OR($O208=$M208,$O208=0,$O208=""),"","* * Check Score! * *")</f>
        <v/>
      </c>
      <c r="M208" s="1242">
        <v>3</v>
      </c>
      <c r="N208" s="499" t="s">
        <v>2001</v>
      </c>
      <c r="O208" s="2947"/>
      <c r="P208" s="913"/>
      <c r="Q208" s="1090" t="str">
        <f>IF(OR($O208=$M208,$O208=0,$O208=""),"","*CHECK!*")</f>
        <v/>
      </c>
      <c r="R208" s="1086" t="s">
        <v>2723</v>
      </c>
    </row>
    <row r="209" spans="1:23" ht="21.75" customHeight="1">
      <c r="A209" s="532"/>
      <c r="B209" s="621" t="s">
        <v>2003</v>
      </c>
      <c r="C209" s="2196" t="s">
        <v>4063</v>
      </c>
      <c r="D209" s="2196"/>
      <c r="E209" s="2196"/>
      <c r="F209" s="2196"/>
      <c r="G209" s="2196"/>
      <c r="H209" s="2196"/>
      <c r="I209" s="2196"/>
      <c r="J209" s="2196"/>
      <c r="K209" s="2196"/>
      <c r="L209" s="391" t="str">
        <f>IF(OR($O209=$M209,$O209=0,$O209=""),"","* * Check Score! * *")</f>
        <v/>
      </c>
      <c r="M209" s="1242">
        <v>2</v>
      </c>
      <c r="N209" s="499" t="s">
        <v>2003</v>
      </c>
      <c r="O209" s="2931"/>
      <c r="P209" s="1218"/>
      <c r="Q209" s="1090" t="str">
        <f>IF(OR($O209=$M209,$O209=0,$O209=""),"","*CHECK!*")</f>
        <v/>
      </c>
      <c r="R209" s="1086" t="s">
        <v>2723</v>
      </c>
    </row>
    <row r="210" spans="1:23" ht="10.5" customHeight="1">
      <c r="A210" s="532"/>
      <c r="B210" s="495"/>
      <c r="C210" s="495" t="s">
        <v>3809</v>
      </c>
      <c r="D210" s="164"/>
      <c r="E210" s="453" t="str">
        <f>'Part I-Project Information'!$N$39</f>
        <v>Yes</v>
      </c>
      <c r="G210" s="495" t="s">
        <v>3599</v>
      </c>
      <c r="I210" s="2148" t="str">
        <f>'Part I-Project Information'!$O$38</f>
        <v>9504</v>
      </c>
      <c r="J210" s="214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2000</v>
      </c>
      <c r="B212" s="184" t="s">
        <v>4061</v>
      </c>
      <c r="D212" s="34"/>
      <c r="K212" s="1277"/>
      <c r="L212" s="391" t="str">
        <f>IF(OR($O212=$M212,$O212=0,$O212=""),"","* * Check Score! * *")</f>
        <v/>
      </c>
      <c r="M212" s="445">
        <v>2</v>
      </c>
      <c r="N212" s="65" t="s">
        <v>2000</v>
      </c>
      <c r="O212" s="2963"/>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3891</v>
      </c>
      <c r="J214" s="3038"/>
      <c r="K214" s="3039"/>
      <c r="L214" s="3040"/>
      <c r="V214" s="1169"/>
      <c r="W214" s="1169"/>
    </row>
    <row r="215" spans="1:23" s="44" customFormat="1" ht="10.5" customHeight="1">
      <c r="A215" s="182"/>
      <c r="B215" s="495" t="s">
        <v>3892</v>
      </c>
      <c r="I215" s="960" t="str">
        <f>IF($J$215="Government", "Additional documentation required - see QAP.","")</f>
        <v/>
      </c>
      <c r="J215" s="3041" t="s">
        <v>2846</v>
      </c>
      <c r="K215" s="3042"/>
      <c r="L215" s="3043"/>
      <c r="M215" s="1106" t="s">
        <v>3651</v>
      </c>
      <c r="N215" s="1107"/>
      <c r="O215" s="1107"/>
      <c r="P215" s="1108"/>
      <c r="V215" s="1169"/>
      <c r="W215" s="1169"/>
    </row>
    <row r="216" spans="1:23" ht="10.5" customHeight="1">
      <c r="A216" s="183"/>
      <c r="B216" s="495" t="s">
        <v>4247</v>
      </c>
      <c r="F216" s="1258"/>
      <c r="G216" s="1258"/>
      <c r="H216" s="1258"/>
      <c r="L216" s="2978"/>
      <c r="M216" s="3044"/>
      <c r="N216" s="3045"/>
      <c r="O216" s="3045"/>
      <c r="P216" s="3046"/>
      <c r="V216" s="1169"/>
      <c r="W216" s="1169"/>
    </row>
    <row r="217" spans="1:23" ht="10.5" customHeight="1">
      <c r="A217" s="183"/>
      <c r="B217" s="405" t="s">
        <v>3820</v>
      </c>
      <c r="G217" s="405"/>
      <c r="J217" s="3047"/>
      <c r="K217" s="1317" t="s">
        <v>3819</v>
      </c>
      <c r="L217" s="1258"/>
      <c r="V217" s="1169"/>
      <c r="W217" s="1169"/>
    </row>
    <row r="218" spans="1:23" ht="21.75" customHeight="1">
      <c r="A218" s="2203" t="s">
        <v>4228</v>
      </c>
      <c r="B218" s="2201" t="s">
        <v>4225</v>
      </c>
      <c r="C218" s="2202"/>
      <c r="D218" s="3048"/>
      <c r="E218" s="3049"/>
      <c r="F218" s="3049"/>
      <c r="G218" s="3049"/>
      <c r="H218" s="3049"/>
      <c r="I218" s="3049"/>
      <c r="J218" s="3049"/>
      <c r="K218" s="3049"/>
      <c r="L218" s="3049"/>
      <c r="M218" s="3049"/>
      <c r="N218" s="3049"/>
      <c r="O218" s="3049"/>
      <c r="P218" s="3050"/>
      <c r="Q218" s="461"/>
      <c r="V218" s="1169"/>
      <c r="W218" s="1169"/>
    </row>
    <row r="219" spans="1:23" ht="34.5" customHeight="1">
      <c r="A219" s="2204"/>
      <c r="B219" s="2120" t="s">
        <v>4226</v>
      </c>
      <c r="C219" s="2121"/>
      <c r="D219" s="3051"/>
      <c r="E219" s="3052"/>
      <c r="F219" s="3052"/>
      <c r="G219" s="3052"/>
      <c r="H219" s="3052"/>
      <c r="I219" s="3052"/>
      <c r="J219" s="3052"/>
      <c r="K219" s="3052"/>
      <c r="L219" s="3052"/>
      <c r="M219" s="3052"/>
      <c r="N219" s="3052"/>
      <c r="O219" s="3052"/>
      <c r="P219" s="3053"/>
      <c r="Q219" s="461"/>
      <c r="V219" s="1169"/>
      <c r="W219" s="1169"/>
    </row>
    <row r="220" spans="1:23" ht="34.5" customHeight="1">
      <c r="A220" s="2205"/>
      <c r="B220" s="2199" t="s">
        <v>4227</v>
      </c>
      <c r="C220" s="2200"/>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3476</v>
      </c>
      <c r="G221" s="2117" t="s">
        <v>2645</v>
      </c>
      <c r="H221" s="2117"/>
      <c r="J221" s="3057"/>
      <c r="K221" s="3058"/>
      <c r="L221" s="2197"/>
      <c r="M221" s="2198"/>
      <c r="V221" s="1169"/>
      <c r="W221" s="1169"/>
    </row>
    <row r="222" spans="1:23" s="44" customFormat="1" ht="10.5" customHeight="1">
      <c r="A222" s="43"/>
      <c r="C222" s="37" t="s">
        <v>3477</v>
      </c>
      <c r="D222" s="1588"/>
      <c r="G222" s="2194">
        <f>'Part IV-A-Uses of Funds'!$G$132</f>
        <v>3838818</v>
      </c>
      <c r="H222" s="2195"/>
      <c r="J222" s="2144">
        <f>IF($J221=0,0,$J221/$G$222)</f>
        <v>0</v>
      </c>
      <c r="K222" s="2145"/>
      <c r="L222" s="2144">
        <f>IF($L221=0,0,$L221/$G$222)</f>
        <v>0</v>
      </c>
      <c r="M222" s="214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21.75" customHeight="1" thickTop="1" thickBot="1">
      <c r="A224" s="2932" t="s">
        <v>4679</v>
      </c>
      <c r="B224" s="2933"/>
      <c r="C224" s="2933"/>
      <c r="D224" s="2933"/>
      <c r="E224" s="2933"/>
      <c r="F224" s="2933"/>
      <c r="G224" s="2933"/>
      <c r="H224" s="2933"/>
      <c r="I224" s="2933"/>
      <c r="J224" s="2933"/>
      <c r="K224" s="2933"/>
      <c r="L224" s="2933"/>
      <c r="M224" s="2933"/>
      <c r="N224" s="2933"/>
      <c r="O224" s="2933"/>
      <c r="P224" s="2934"/>
      <c r="Q224" s="1174" t="s">
        <v>1265</v>
      </c>
    </row>
    <row r="225" spans="1:23" s="105" customFormat="1" ht="11.45" customHeight="1" thickTop="1">
      <c r="A225" s="43"/>
      <c r="B225" s="100" t="s">
        <v>1879</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4062</v>
      </c>
      <c r="C228" s="1588"/>
      <c r="D228" s="1588"/>
      <c r="E228" s="1588"/>
      <c r="F228" s="1588"/>
      <c r="G228" s="1588"/>
      <c r="H228" s="1588"/>
      <c r="I228" s="1588"/>
      <c r="J228" s="1588"/>
      <c r="K228" s="1592" t="s">
        <v>3266</v>
      </c>
      <c r="L228" s="1592" t="s">
        <v>258</v>
      </c>
      <c r="M228" s="941">
        <v>3</v>
      </c>
      <c r="N228" s="77"/>
      <c r="O228" s="73"/>
      <c r="P228" s="1231"/>
      <c r="Q228" s="112" t="s">
        <v>443</v>
      </c>
      <c r="R228" s="1086" t="s">
        <v>2723</v>
      </c>
    </row>
    <row r="229" spans="1:23" s="44" customFormat="1" ht="11.25" customHeight="1">
      <c r="A229" s="143"/>
      <c r="B229" s="116" t="s">
        <v>4065</v>
      </c>
      <c r="D229" s="56" t="s">
        <v>4066</v>
      </c>
      <c r="K229" s="1293">
        <f>$O$189</f>
        <v>0</v>
      </c>
      <c r="L229" s="1294">
        <f>$P$189</f>
        <v>0</v>
      </c>
      <c r="N229" s="484" t="s">
        <v>2450</v>
      </c>
      <c r="O229" s="2929"/>
      <c r="P229" s="1005"/>
      <c r="R229" s="391"/>
    </row>
    <row r="230" spans="1:23" s="44" customFormat="1" ht="11.25" customHeight="1">
      <c r="A230" s="143"/>
      <c r="D230" s="56" t="s">
        <v>4067</v>
      </c>
      <c r="K230" s="1293">
        <f>$O$111</f>
        <v>0</v>
      </c>
      <c r="L230" s="1294">
        <f>$P$111</f>
        <v>0</v>
      </c>
      <c r="N230" s="484" t="s">
        <v>2451</v>
      </c>
      <c r="O230" s="2935"/>
      <c r="P230" s="562"/>
      <c r="R230" s="1169"/>
      <c r="S230" s="1169"/>
    </row>
    <row r="231" spans="1:23" s="44" customFormat="1" ht="11.25" customHeight="1">
      <c r="A231" s="143"/>
      <c r="D231" s="56" t="s">
        <v>4068</v>
      </c>
      <c r="N231" s="484" t="s">
        <v>2452</v>
      </c>
      <c r="O231" s="2928"/>
      <c r="P231" s="562"/>
      <c r="R231" s="1169"/>
      <c r="S231" s="1169"/>
    </row>
    <row r="232" spans="1:23" s="44" customFormat="1" ht="11.25" customHeight="1">
      <c r="A232" s="143"/>
      <c r="D232" s="56" t="s">
        <v>4069</v>
      </c>
      <c r="N232" s="484" t="s">
        <v>2453</v>
      </c>
      <c r="O232" s="484"/>
      <c r="P232" s="962"/>
      <c r="R232" s="1169"/>
      <c r="S232" s="1169"/>
    </row>
    <row r="233" spans="1:23" s="44" customFormat="1" ht="11.25" customHeight="1">
      <c r="A233" s="143"/>
      <c r="D233" s="56" t="s">
        <v>4070</v>
      </c>
      <c r="N233" s="484" t="s">
        <v>2454</v>
      </c>
      <c r="O233" s="2999"/>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1998</v>
      </c>
      <c r="B235" s="184" t="s">
        <v>4072</v>
      </c>
      <c r="D235" s="34"/>
      <c r="G235" s="495" t="s">
        <v>3815</v>
      </c>
      <c r="N235" s="28"/>
      <c r="O235" s="28"/>
      <c r="P235" s="28"/>
      <c r="Q235" s="1099"/>
    </row>
    <row r="236" spans="1:23" s="34" customFormat="1" ht="10.5" customHeight="1">
      <c r="A236" s="532"/>
      <c r="B236" s="139" t="s">
        <v>3896</v>
      </c>
      <c r="D236" s="3059"/>
      <c r="E236" s="3060"/>
      <c r="F236" s="3060"/>
      <c r="G236" s="3061"/>
      <c r="H236" s="3062"/>
      <c r="I236" s="1595" t="s">
        <v>2721</v>
      </c>
      <c r="J236" s="3059"/>
      <c r="K236" s="3060"/>
      <c r="L236" s="3060"/>
      <c r="M236" s="3060"/>
      <c r="N236" s="3062"/>
      <c r="O236" s="605"/>
      <c r="P236" s="605"/>
      <c r="Q236" s="1099"/>
    </row>
    <row r="237" spans="1:23" s="34" customFormat="1" ht="10.5" customHeight="1">
      <c r="A237" s="532"/>
      <c r="B237" s="139" t="s">
        <v>2209</v>
      </c>
      <c r="D237" s="3063"/>
      <c r="E237" s="3064"/>
      <c r="F237" s="3065"/>
      <c r="G237" s="139" t="s">
        <v>1733</v>
      </c>
      <c r="H237" s="3066"/>
      <c r="I237" s="448" t="s">
        <v>1812</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2001</v>
      </c>
      <c r="C239" s="1101" t="s">
        <v>4071</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98"/>
      <c r="B240" s="655"/>
      <c r="C240" s="2055" t="s">
        <v>4082</v>
      </c>
      <c r="D240" s="2055"/>
      <c r="E240" s="2055"/>
      <c r="F240" s="2055"/>
      <c r="G240" s="2055"/>
      <c r="H240" s="2055"/>
      <c r="I240" s="2055"/>
      <c r="J240" s="2055"/>
      <c r="K240" s="2055"/>
      <c r="L240" s="2055"/>
      <c r="N240" s="404" t="s">
        <v>2001</v>
      </c>
      <c r="O240" s="3067"/>
      <c r="P240" s="1262"/>
      <c r="Q240" s="1096"/>
      <c r="R240" s="28"/>
      <c r="S240" s="1177"/>
      <c r="V240" s="1169"/>
      <c r="W240" s="1169"/>
    </row>
    <row r="241" spans="1:23" s="34" customFormat="1" ht="10.5" customHeight="1">
      <c r="A241" s="532"/>
      <c r="B241" s="484" t="s">
        <v>2450</v>
      </c>
      <c r="C241" s="139" t="s">
        <v>4073</v>
      </c>
      <c r="D241" s="3068"/>
      <c r="E241" s="3069"/>
      <c r="F241" s="3069"/>
      <c r="G241" s="3060"/>
      <c r="H241" s="3070"/>
      <c r="I241" s="1595" t="s">
        <v>2721</v>
      </c>
      <c r="J241" s="3068"/>
      <c r="K241" s="3069"/>
      <c r="L241" s="3069"/>
      <c r="M241" s="3069"/>
      <c r="N241" s="3070"/>
      <c r="O241" s="2118" t="s">
        <v>4075</v>
      </c>
      <c r="P241" s="2119"/>
      <c r="Q241" s="1096"/>
      <c r="R241" s="28"/>
      <c r="V241" s="1169"/>
      <c r="W241" s="1169"/>
    </row>
    <row r="242" spans="1:23" s="34" customFormat="1" ht="10.5" customHeight="1">
      <c r="A242" s="532"/>
      <c r="C242" s="1179" t="s">
        <v>2209</v>
      </c>
      <c r="D242" s="3063"/>
      <c r="E242" s="3064"/>
      <c r="F242" s="3065"/>
      <c r="G242" s="1260" t="s">
        <v>1733</v>
      </c>
      <c r="H242" s="3066"/>
      <c r="I242" s="1178" t="s">
        <v>1812</v>
      </c>
      <c r="J242" s="3063"/>
      <c r="K242" s="3064"/>
      <c r="L242" s="3064"/>
      <c r="M242" s="3064"/>
      <c r="N242" s="3065"/>
      <c r="O242" s="2928"/>
      <c r="P242" s="563"/>
      <c r="Q242" s="1096"/>
      <c r="R242" s="28"/>
      <c r="V242" s="1169"/>
      <c r="W242" s="1169"/>
    </row>
    <row r="243" spans="1:23" s="34" customFormat="1" ht="10.5" customHeight="1">
      <c r="A243" s="532"/>
      <c r="B243" s="484" t="s">
        <v>2451</v>
      </c>
      <c r="C243" s="139" t="s">
        <v>4074</v>
      </c>
      <c r="D243" s="3068"/>
      <c r="E243" s="3069"/>
      <c r="F243" s="3069"/>
      <c r="G243" s="3060"/>
      <c r="H243" s="3070"/>
      <c r="I243" s="1595" t="s">
        <v>2721</v>
      </c>
      <c r="J243" s="3068"/>
      <c r="K243" s="3069"/>
      <c r="L243" s="3069"/>
      <c r="M243" s="3069"/>
      <c r="N243" s="3070"/>
      <c r="O243" s="2118" t="s">
        <v>4075</v>
      </c>
      <c r="P243" s="2119"/>
      <c r="Q243" s="1096"/>
      <c r="R243" s="28"/>
      <c r="V243" s="1169"/>
      <c r="W243" s="1169"/>
    </row>
    <row r="244" spans="1:23" s="34" customFormat="1" ht="10.5" customHeight="1">
      <c r="A244" s="532"/>
      <c r="C244" s="1179" t="s">
        <v>2209</v>
      </c>
      <c r="D244" s="3063"/>
      <c r="E244" s="3064"/>
      <c r="F244" s="3065"/>
      <c r="G244" s="1260" t="s">
        <v>1733</v>
      </c>
      <c r="H244" s="3066"/>
      <c r="I244" s="1178" t="s">
        <v>1812</v>
      </c>
      <c r="J244" s="3063"/>
      <c r="K244" s="3064"/>
      <c r="L244" s="3064"/>
      <c r="M244" s="3064"/>
      <c r="N244" s="3065"/>
      <c r="O244" s="2928"/>
      <c r="P244" s="563"/>
      <c r="Q244" s="1096"/>
      <c r="R244" s="28"/>
      <c r="V244" s="1169"/>
      <c r="W244" s="1169"/>
    </row>
    <row r="245" spans="1:23" ht="11.25" customHeight="1">
      <c r="A245" s="532"/>
      <c r="B245" s="621" t="s">
        <v>2003</v>
      </c>
      <c r="C245" s="1101" t="s">
        <v>4076</v>
      </c>
      <c r="D245" s="1096"/>
      <c r="E245" s="1096"/>
      <c r="F245" s="1096"/>
      <c r="G245" s="495" t="s">
        <v>3815</v>
      </c>
      <c r="H245" s="1096"/>
      <c r="I245" s="1096"/>
      <c r="J245" s="1096"/>
      <c r="K245" s="1096"/>
      <c r="L245" s="1096"/>
      <c r="M245" s="1096"/>
      <c r="N245" s="1096"/>
      <c r="O245" s="540" t="s">
        <v>2526</v>
      </c>
      <c r="P245" s="540" t="s">
        <v>2526</v>
      </c>
      <c r="Q245" s="1096"/>
    </row>
    <row r="246" spans="1:23" ht="21.75" customHeight="1">
      <c r="A246" s="532"/>
      <c r="B246" s="1103"/>
      <c r="C246" s="1962" t="s">
        <v>4191</v>
      </c>
      <c r="D246" s="1962"/>
      <c r="E246" s="1962"/>
      <c r="F246" s="1962"/>
      <c r="G246" s="1962"/>
      <c r="H246" s="1962"/>
      <c r="I246" s="1962"/>
      <c r="J246" s="1962"/>
      <c r="K246" s="1962"/>
      <c r="L246" s="1962"/>
      <c r="M246" s="1962"/>
      <c r="N246" s="404" t="s">
        <v>2003</v>
      </c>
      <c r="O246" s="3067"/>
      <c r="P246" s="1262"/>
      <c r="Q246" s="1100"/>
      <c r="V246" s="1169"/>
      <c r="W246" s="1169"/>
    </row>
    <row r="247" spans="1:23" ht="11.25" customHeight="1">
      <c r="A247" s="532"/>
      <c r="B247" s="484" t="s">
        <v>2450</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2451</v>
      </c>
      <c r="C251" s="1105" t="s">
        <v>4190</v>
      </c>
      <c r="D251" s="1596"/>
      <c r="E251" s="1596"/>
      <c r="F251" s="1596"/>
      <c r="G251" s="1596"/>
      <c r="H251" s="1596"/>
      <c r="I251" s="1596"/>
      <c r="J251" s="1596"/>
      <c r="K251" s="1596"/>
      <c r="L251" s="2056" t="s">
        <v>4194</v>
      </c>
      <c r="M251" s="2056"/>
      <c r="N251" s="2057" t="s">
        <v>4195</v>
      </c>
      <c r="O251" s="2057"/>
      <c r="P251" s="2057"/>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2550</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4081</v>
      </c>
      <c r="D256" s="2055"/>
      <c r="E256" s="2055"/>
      <c r="F256" s="2055"/>
      <c r="G256" s="2055"/>
      <c r="H256" s="2055"/>
      <c r="I256" s="2055"/>
      <c r="J256" s="2055"/>
      <c r="K256" s="2055"/>
      <c r="L256" s="2055"/>
      <c r="M256" s="2055"/>
      <c r="N256" s="404" t="s">
        <v>2550</v>
      </c>
      <c r="O256" s="2999"/>
      <c r="P256" s="560"/>
      <c r="Q256" s="1100"/>
      <c r="V256" s="1169"/>
      <c r="W256" s="1169"/>
    </row>
    <row r="257" spans="1:23" ht="10.5" customHeight="1">
      <c r="A257" s="143"/>
      <c r="B257" s="942" t="s">
        <v>1235</v>
      </c>
      <c r="C257" s="618" t="s">
        <v>3818</v>
      </c>
      <c r="D257" s="34"/>
      <c r="N257" s="28"/>
      <c r="O257" s="28"/>
      <c r="P257" s="28"/>
      <c r="Q257" s="117"/>
    </row>
    <row r="258" spans="1:23" s="34" customFormat="1" ht="21.75" customHeight="1">
      <c r="A258" s="532"/>
      <c r="B258" s="1104"/>
      <c r="C258" s="2020" t="s">
        <v>4083</v>
      </c>
      <c r="D258" s="2020"/>
      <c r="E258" s="2020"/>
      <c r="F258" s="2020"/>
      <c r="G258" s="2020"/>
      <c r="H258" s="2020"/>
      <c r="I258" s="2020"/>
      <c r="J258" s="2020"/>
      <c r="K258" s="2020"/>
      <c r="L258" s="2020"/>
      <c r="M258" s="2020"/>
      <c r="N258" s="404" t="s">
        <v>1235</v>
      </c>
      <c r="O258" s="3071"/>
      <c r="P258" s="1261"/>
      <c r="Q258" s="1100"/>
      <c r="V258" s="1169"/>
      <c r="W258" s="1169"/>
    </row>
    <row r="259" spans="1:23" s="34" customFormat="1" ht="10.5" customHeight="1">
      <c r="A259" s="532"/>
      <c r="B259" s="401" t="s">
        <v>2450</v>
      </c>
      <c r="C259" s="2055" t="s">
        <v>4084</v>
      </c>
      <c r="D259" s="2055"/>
      <c r="E259" s="2055"/>
      <c r="F259" s="2055"/>
      <c r="G259" s="2055"/>
      <c r="H259" s="2055"/>
      <c r="I259" s="2055"/>
      <c r="J259" s="2055"/>
      <c r="K259" s="2055"/>
      <c r="L259" s="2055"/>
      <c r="M259" s="2055"/>
      <c r="N259" s="401" t="s">
        <v>2450</v>
      </c>
      <c r="O259" s="2935"/>
      <c r="P259" s="562"/>
      <c r="Q259" s="1100"/>
      <c r="V259" s="1169"/>
      <c r="W259" s="1169"/>
    </row>
    <row r="260" spans="1:23" s="34" customFormat="1" ht="10.5" customHeight="1">
      <c r="A260" s="532"/>
      <c r="B260" s="401" t="s">
        <v>2451</v>
      </c>
      <c r="C260" s="2055" t="s">
        <v>4085</v>
      </c>
      <c r="D260" s="2055"/>
      <c r="E260" s="2055"/>
      <c r="F260" s="2055"/>
      <c r="G260" s="2055"/>
      <c r="H260" s="2055"/>
      <c r="I260" s="2055"/>
      <c r="J260" s="2055"/>
      <c r="K260" s="2055"/>
      <c r="L260" s="2055"/>
      <c r="M260" s="2055"/>
      <c r="N260" s="401" t="s">
        <v>2451</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2000</v>
      </c>
      <c r="B262" s="184" t="s">
        <v>4078</v>
      </c>
      <c r="D262" s="34"/>
      <c r="G262" s="495" t="s">
        <v>3815</v>
      </c>
      <c r="N262" s="28"/>
      <c r="O262" s="540" t="s">
        <v>2526</v>
      </c>
      <c r="P262" s="540" t="s">
        <v>2526</v>
      </c>
      <c r="Q262" s="1099"/>
    </row>
    <row r="263" spans="1:23" ht="21.75" customHeight="1">
      <c r="A263" s="532"/>
      <c r="B263" s="621" t="s">
        <v>2001</v>
      </c>
      <c r="C263" s="1962" t="s">
        <v>4079</v>
      </c>
      <c r="D263" s="1962"/>
      <c r="E263" s="1962"/>
      <c r="F263" s="1962"/>
      <c r="G263" s="1962"/>
      <c r="H263" s="1962"/>
      <c r="I263" s="1962"/>
      <c r="J263" s="1962"/>
      <c r="K263" s="1962"/>
      <c r="L263" s="1962"/>
      <c r="M263" s="1232" t="s">
        <v>2000</v>
      </c>
      <c r="N263" s="404" t="s">
        <v>2001</v>
      </c>
      <c r="O263" s="3071"/>
      <c r="P263" s="1261"/>
      <c r="Q263" s="1099"/>
      <c r="V263" s="1169"/>
      <c r="W263" s="1169"/>
    </row>
    <row r="264" spans="1:23" s="34" customFormat="1" ht="10.5" customHeight="1">
      <c r="A264" s="532"/>
      <c r="B264" s="621" t="s">
        <v>2003</v>
      </c>
      <c r="C264" s="448" t="s">
        <v>4080</v>
      </c>
      <c r="D264" s="1041"/>
      <c r="E264" s="1041"/>
      <c r="F264" s="1041"/>
      <c r="G264" s="1041"/>
      <c r="H264" s="1041"/>
      <c r="I264" s="1041"/>
      <c r="J264" s="1041"/>
      <c r="K264" s="1041"/>
      <c r="L264" s="1041"/>
      <c r="M264" s="1041"/>
      <c r="N264" s="404" t="s">
        <v>2003</v>
      </c>
      <c r="O264" s="2928"/>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70" t="s">
        <v>4680</v>
      </c>
      <c r="B266" s="2971"/>
      <c r="C266" s="2971"/>
      <c r="D266" s="2971"/>
      <c r="E266" s="2971"/>
      <c r="F266" s="2971"/>
      <c r="G266" s="2971"/>
      <c r="H266" s="2971"/>
      <c r="I266" s="2971"/>
      <c r="J266" s="2971"/>
      <c r="K266" s="2971"/>
      <c r="L266" s="2971"/>
      <c r="M266" s="2971"/>
      <c r="N266" s="2971"/>
      <c r="O266" s="2971"/>
      <c r="P266" s="2972"/>
      <c r="Q266" s="1174" t="s">
        <v>1265</v>
      </c>
    </row>
    <row r="267" spans="1:23" s="44" customFormat="1" ht="10.5" customHeight="1" thickTop="1">
      <c r="A267" s="43"/>
      <c r="B267" s="88" t="s">
        <v>1879</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4235</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3627</v>
      </c>
      <c r="B272" s="921" t="s">
        <v>3625</v>
      </c>
      <c r="C272" s="95"/>
      <c r="D272" s="60"/>
      <c r="E272" s="60"/>
      <c r="H272" s="179"/>
      <c r="M272" s="1235">
        <v>3</v>
      </c>
      <c r="N272" s="2052"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2811</v>
      </c>
      <c r="C273" s="536"/>
      <c r="D273" s="536"/>
      <c r="H273" s="537" t="str">
        <f>'Part I-Project Information'!$H$100</f>
        <v>Rural</v>
      </c>
      <c r="N273" s="2052"/>
      <c r="O273" s="1297" t="s">
        <v>2526</v>
      </c>
      <c r="P273" s="1297" t="s">
        <v>2526</v>
      </c>
    </row>
    <row r="274" spans="1:21" ht="11.45" customHeight="1">
      <c r="A274" s="2116"/>
      <c r="B274" s="942" t="s">
        <v>2001</v>
      </c>
      <c r="C274" s="454" t="s">
        <v>2701</v>
      </c>
      <c r="E274" s="120"/>
      <c r="M274" s="83"/>
      <c r="N274" s="2052"/>
      <c r="O274" s="2999" t="s">
        <v>3013</v>
      </c>
      <c r="P274" s="560"/>
      <c r="Q274" s="2049" t="str">
        <f>IF(AND(O274="Yes",O277="Yes"),"Only 1 or 4 can be 'Yes'!","")</f>
        <v/>
      </c>
      <c r="R274" s="2049"/>
    </row>
    <row r="275" spans="1:21" ht="11.45" customHeight="1">
      <c r="B275" s="942" t="s">
        <v>2003</v>
      </c>
      <c r="C275" s="454" t="s">
        <v>2756</v>
      </c>
      <c r="G275" s="103" t="s">
        <v>2404</v>
      </c>
      <c r="H275" s="3072"/>
      <c r="I275" s="454" t="s">
        <v>2757</v>
      </c>
      <c r="L275" s="139" t="s">
        <v>2755</v>
      </c>
      <c r="M275" s="944" t="str">
        <f>IF(O275&gt;H275,"CHECK ACTUAL PERCENT!!!","")</f>
        <v>CHECK ACTUAL PERCENT!!!</v>
      </c>
      <c r="N275" s="181" t="s">
        <v>2003</v>
      </c>
      <c r="O275" s="3073">
        <v>0.124</v>
      </c>
      <c r="P275" s="1287"/>
      <c r="Q275" s="2049"/>
      <c r="R275" s="2049"/>
    </row>
    <row r="276" spans="1:21" ht="11.45" customHeight="1">
      <c r="B276" s="942" t="s">
        <v>2550</v>
      </c>
      <c r="C276" s="430" t="s">
        <v>2405</v>
      </c>
      <c r="E276" s="120"/>
      <c r="G276" s="103" t="s">
        <v>2406</v>
      </c>
      <c r="J276" s="2050" t="s">
        <v>4088</v>
      </c>
      <c r="L276" s="448" t="s">
        <v>2749</v>
      </c>
      <c r="M276" s="34"/>
      <c r="N276" s="181" t="s">
        <v>2550</v>
      </c>
      <c r="O276" s="3074" t="s">
        <v>4620</v>
      </c>
      <c r="P276" s="1357" t="s">
        <v>203</v>
      </c>
      <c r="Q276" s="2049"/>
      <c r="R276" s="2049"/>
    </row>
    <row r="277" spans="1:21" s="406" customFormat="1" ht="11.45" customHeight="1">
      <c r="B277" s="621" t="s">
        <v>1235</v>
      </c>
      <c r="C277" s="1962" t="s">
        <v>4087</v>
      </c>
      <c r="D277" s="1962"/>
      <c r="E277" s="1962"/>
      <c r="F277" s="1962"/>
      <c r="G277" s="1962"/>
      <c r="H277" s="1962"/>
      <c r="I277" s="1962"/>
      <c r="J277" s="2207"/>
      <c r="K277" s="2050" t="s">
        <v>4086</v>
      </c>
      <c r="M277" s="1236">
        <v>2</v>
      </c>
      <c r="N277" s="181" t="s">
        <v>1235</v>
      </c>
      <c r="O277" s="3067"/>
      <c r="P277" s="1262"/>
      <c r="Q277" s="2049"/>
      <c r="R277" s="2049"/>
    </row>
    <row r="278" spans="1:21" ht="11.45" customHeight="1">
      <c r="B278" s="389"/>
      <c r="C278" s="1962"/>
      <c r="D278" s="1962"/>
      <c r="E278" s="1962"/>
      <c r="F278" s="1962"/>
      <c r="G278" s="1962"/>
      <c r="H278" s="1962"/>
      <c r="I278" s="1962"/>
      <c r="J278" s="2051"/>
      <c r="K278" s="2051"/>
      <c r="L278" s="2053" t="s">
        <v>4151</v>
      </c>
      <c r="M278" s="2054"/>
      <c r="N278" s="120"/>
    </row>
    <row r="279" spans="1:21" ht="11.45" customHeight="1">
      <c r="B279" s="389"/>
      <c r="C279" s="1962"/>
      <c r="D279" s="1962"/>
      <c r="E279" s="1962"/>
      <c r="F279" s="1962"/>
      <c r="G279" s="1962"/>
      <c r="H279" s="1962"/>
      <c r="I279" s="1962"/>
      <c r="J279" s="3075"/>
      <c r="K279" s="3076"/>
      <c r="L279" s="1233">
        <f>O57</f>
        <v>10</v>
      </c>
      <c r="M279" s="1234">
        <f>P57</f>
        <v>0</v>
      </c>
      <c r="N279" s="28"/>
    </row>
    <row r="280" spans="1:21" ht="11.45" customHeight="1">
      <c r="A280" s="539" t="s">
        <v>756</v>
      </c>
      <c r="B280" s="942" t="s">
        <v>3626</v>
      </c>
      <c r="C280" s="430"/>
      <c r="E280" s="120"/>
      <c r="G280" s="103"/>
      <c r="M280" s="1235">
        <v>2</v>
      </c>
      <c r="N280" s="1237" t="s">
        <v>756</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3077"/>
      <c r="P281" s="1289" t="s">
        <v>203</v>
      </c>
    </row>
    <row r="282" spans="1:21" ht="11.45" customHeight="1">
      <c r="A282" s="539" t="s">
        <v>2130</v>
      </c>
      <c r="B282" s="942" t="s">
        <v>3628</v>
      </c>
      <c r="C282" s="430"/>
      <c r="E282" s="120"/>
      <c r="G282" s="495" t="s">
        <v>3629</v>
      </c>
      <c r="H282" s="943">
        <f>'Part VI-Revenues &amp; Expenses'!$O$59</f>
        <v>0</v>
      </c>
      <c r="I282" s="1097" t="s">
        <v>3632</v>
      </c>
      <c r="J282" s="943">
        <f>'Part VI-Revenues &amp; Expenses'!$O$62</f>
        <v>48</v>
      </c>
      <c r="K282" s="1097" t="s">
        <v>3633</v>
      </c>
      <c r="L282" s="945">
        <f>IF(J282=0,0,H282/J282)</f>
        <v>0</v>
      </c>
      <c r="M282" s="1235">
        <v>2</v>
      </c>
      <c r="N282" s="1227"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3831</v>
      </c>
      <c r="M286" s="1585">
        <v>10</v>
      </c>
      <c r="N286" s="7"/>
      <c r="O286" s="1194">
        <f>IF(OR(O287="Yes",O288="Yes"),$M$286,0)</f>
        <v>0</v>
      </c>
      <c r="P286" s="1194">
        <f>IF(OR(P287="Yes",P288="Yes"),$M$286,0)</f>
        <v>0</v>
      </c>
      <c r="Q286" s="112" t="s">
        <v>443</v>
      </c>
      <c r="R286" s="44"/>
    </row>
    <row r="287" spans="1:21" ht="11.25" customHeight="1">
      <c r="A287" s="1586" t="s">
        <v>1998</v>
      </c>
      <c r="B287" s="1238" t="s">
        <v>3822</v>
      </c>
      <c r="D287" s="655"/>
      <c r="E287" s="655"/>
      <c r="F287" s="655"/>
      <c r="G287" s="655"/>
      <c r="H287" s="655"/>
      <c r="I287" s="655"/>
      <c r="J287" s="655"/>
      <c r="K287" s="655"/>
      <c r="L287" s="1105"/>
      <c r="M287" s="2150" t="str">
        <f>IF(OR(SUM(T287:T288)&gt;1,SUM(U287:U288)&gt;1),"Only one category can be met by other means!","")</f>
        <v/>
      </c>
      <c r="N287" s="484" t="s">
        <v>1998</v>
      </c>
      <c r="O287" s="2929" t="s">
        <v>3013</v>
      </c>
      <c r="P287" s="561"/>
      <c r="U287" s="1355">
        <f>IF(L287="Yes",1,0)</f>
        <v>0</v>
      </c>
    </row>
    <row r="288" spans="1:21" ht="11.25" customHeight="1">
      <c r="A288" s="1586" t="s">
        <v>2000</v>
      </c>
      <c r="B288" s="1238" t="s">
        <v>3823</v>
      </c>
      <c r="D288" s="655"/>
      <c r="L288" s="1105"/>
      <c r="M288" s="2150"/>
      <c r="N288" s="484" t="s">
        <v>2000</v>
      </c>
      <c r="O288" s="2928" t="s">
        <v>3013</v>
      </c>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2" t="s">
        <v>4709</v>
      </c>
      <c r="B290" s="2933"/>
      <c r="C290" s="2933"/>
      <c r="D290" s="2933"/>
      <c r="E290" s="2933"/>
      <c r="F290" s="2933"/>
      <c r="G290" s="2933"/>
      <c r="H290" s="2933"/>
      <c r="I290" s="2933"/>
      <c r="J290" s="2933"/>
      <c r="K290" s="2933"/>
      <c r="L290" s="2933"/>
      <c r="M290" s="2933"/>
      <c r="N290" s="2933"/>
      <c r="O290" s="2933"/>
      <c r="P290" s="2934"/>
      <c r="Q290" s="1174" t="s">
        <v>1265</v>
      </c>
    </row>
    <row r="291" spans="1:27" s="44" customFormat="1" ht="10.5" customHeight="1" thickTop="1">
      <c r="A291" s="43"/>
      <c r="B291" s="88" t="s">
        <v>1879</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3412</v>
      </c>
      <c r="J294" s="89" t="s">
        <v>2811</v>
      </c>
      <c r="K294" s="49"/>
      <c r="L294" s="654" t="str">
        <f>'Part I-Project Information'!$H$100</f>
        <v>Rural</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1998</v>
      </c>
      <c r="B295" s="184" t="s">
        <v>4091</v>
      </c>
      <c r="D295" s="34"/>
      <c r="E295" s="34"/>
      <c r="F295" s="34"/>
      <c r="H295" s="89" t="s">
        <v>3710</v>
      </c>
      <c r="I295" s="446"/>
      <c r="J295" s="2193" t="str">
        <f>'Part I-Project Information'!$O$34</f>
        <v>No</v>
      </c>
      <c r="K295" s="2193"/>
      <c r="L295" s="995">
        <f>'Part I-Project Information'!$O$35</f>
        <v>0</v>
      </c>
      <c r="M295" s="75">
        <v>3</v>
      </c>
      <c r="N295" s="484" t="s">
        <v>1998</v>
      </c>
      <c r="O295" s="2963"/>
      <c r="P295" s="912"/>
      <c r="Q295" s="1090" t="str">
        <f>IF(OR($O295=$M295,$O295=0,$O295=""),"","*CHECK!*")</f>
        <v/>
      </c>
      <c r="R295" s="1192" t="s">
        <v>2723</v>
      </c>
    </row>
    <row r="296" spans="1:27" s="103" customFormat="1" ht="21.75" customHeight="1">
      <c r="B296" s="621" t="s">
        <v>2001</v>
      </c>
      <c r="C296" s="2020" t="s">
        <v>4248</v>
      </c>
      <c r="D296" s="2020"/>
      <c r="E296" s="2020"/>
      <c r="F296" s="2020"/>
      <c r="G296" s="2020"/>
      <c r="H296" s="2020"/>
      <c r="I296" s="2020"/>
      <c r="J296" s="2020"/>
      <c r="K296" s="2020"/>
      <c r="L296" s="2020"/>
      <c r="M296" s="2020"/>
      <c r="N296" s="404" t="s">
        <v>2001</v>
      </c>
      <c r="O296" s="3078"/>
      <c r="P296" s="1241"/>
      <c r="Q296" s="2151" t="s">
        <v>4249</v>
      </c>
      <c r="R296" s="2020"/>
      <c r="S296" s="2020"/>
      <c r="T296" s="2020"/>
      <c r="U296" s="2020"/>
      <c r="V296" s="2020"/>
      <c r="W296" s="2020"/>
      <c r="X296" s="2020"/>
      <c r="Y296" s="2020"/>
      <c r="Z296" s="2020"/>
      <c r="AA296" s="1098"/>
    </row>
    <row r="297" spans="1:27" s="121" customFormat="1" ht="10.5" customHeight="1">
      <c r="B297" s="942"/>
      <c r="C297" s="139" t="s">
        <v>3837</v>
      </c>
      <c r="H297" s="448" t="s">
        <v>2599</v>
      </c>
      <c r="I297" s="3079"/>
      <c r="J297" s="448" t="s">
        <v>2316</v>
      </c>
      <c r="K297" s="3080"/>
      <c r="L297" s="3081"/>
      <c r="M297" s="3081"/>
      <c r="N297" s="3081"/>
      <c r="O297" s="3081"/>
      <c r="P297" s="3082"/>
    </row>
    <row r="298" spans="1:27" s="121" customFormat="1" ht="10.5" customHeight="1">
      <c r="B298" s="942"/>
      <c r="C298" s="139" t="s">
        <v>3893</v>
      </c>
      <c r="H298" s="448" t="s">
        <v>2599</v>
      </c>
      <c r="I298" s="3083"/>
      <c r="J298" s="448" t="s">
        <v>2316</v>
      </c>
      <c r="K298" s="3084"/>
      <c r="L298" s="3085"/>
      <c r="M298" s="3085"/>
      <c r="N298" s="3085"/>
      <c r="O298" s="3085"/>
      <c r="P298" s="3086"/>
    </row>
    <row r="299" spans="1:27" s="121" customFormat="1" ht="10.5" customHeight="1">
      <c r="B299" s="942" t="s">
        <v>2003</v>
      </c>
      <c r="C299" s="121" t="s">
        <v>971</v>
      </c>
      <c r="M299" s="7"/>
      <c r="N299" s="181" t="s">
        <v>2003</v>
      </c>
      <c r="O299" s="2980"/>
      <c r="P299" s="1005"/>
    </row>
    <row r="300" spans="1:27" s="121" customFormat="1" ht="10.5" customHeight="1">
      <c r="B300" s="942" t="s">
        <v>2550</v>
      </c>
      <c r="C300" s="121" t="s">
        <v>972</v>
      </c>
      <c r="M300" s="7"/>
      <c r="N300" s="181" t="s">
        <v>2550</v>
      </c>
      <c r="O300" s="2935"/>
      <c r="P300" s="562"/>
    </row>
    <row r="301" spans="1:27" s="121" customFormat="1" ht="10.5" customHeight="1">
      <c r="A301" s="532"/>
      <c r="B301" s="942" t="s">
        <v>1235</v>
      </c>
      <c r="C301" s="121" t="s">
        <v>973</v>
      </c>
      <c r="M301" s="7"/>
      <c r="N301" s="181" t="s">
        <v>1235</v>
      </c>
      <c r="O301" s="2928"/>
      <c r="P301" s="563"/>
    </row>
    <row r="302" spans="1:27" s="34" customFormat="1" ht="10.5" customHeight="1">
      <c r="A302" s="1586" t="s">
        <v>2000</v>
      </c>
      <c r="B302" s="184" t="s">
        <v>4092</v>
      </c>
      <c r="D302" s="620"/>
      <c r="H302" s="62" t="s">
        <v>3413</v>
      </c>
    </row>
    <row r="303" spans="1:27" s="34" customFormat="1" ht="10.5" customHeight="1">
      <c r="A303" s="1586"/>
      <c r="B303" s="947" t="s">
        <v>3634</v>
      </c>
      <c r="D303" s="620"/>
      <c r="H303" s="62"/>
      <c r="M303" s="616">
        <v>3</v>
      </c>
      <c r="N303" s="484" t="s">
        <v>2000</v>
      </c>
      <c r="O303" s="950">
        <f>IF($L$294="Flexible", MIN($M$303, SUM(O304:O305)), 0)</f>
        <v>0</v>
      </c>
      <c r="P303" s="950">
        <f>IF($L$294="Flexible", MIN($M$303, SUM(P304:P305)), 0)</f>
        <v>0</v>
      </c>
    </row>
    <row r="304" spans="1:27" s="34" customFormat="1" ht="10.5" customHeight="1">
      <c r="B304" s="942" t="s">
        <v>2001</v>
      </c>
      <c r="C304" s="618" t="s">
        <v>4094</v>
      </c>
      <c r="L304" s="391" t="str">
        <f>IF(OR($O304=$M304,$O304=0,$O304=""),"","* * Check Score! * *")</f>
        <v/>
      </c>
      <c r="M304" s="75">
        <v>3</v>
      </c>
      <c r="N304" s="450" t="s">
        <v>2001</v>
      </c>
      <c r="O304" s="2967"/>
      <c r="P304" s="555"/>
      <c r="Q304" s="1090" t="str">
        <f>IF(OR($O304=$M304,$O304=0,$O304=""),"","*CHECK!*")</f>
        <v/>
      </c>
      <c r="R304" s="1192" t="s">
        <v>2723</v>
      </c>
    </row>
    <row r="305" spans="1:21" ht="10.5" customHeight="1">
      <c r="A305" s="619" t="s">
        <v>1364</v>
      </c>
      <c r="B305" s="621" t="s">
        <v>2003</v>
      </c>
      <c r="C305" s="455" t="s">
        <v>3635</v>
      </c>
      <c r="D305" s="34"/>
      <c r="E305" s="34"/>
      <c r="F305" s="34"/>
      <c r="G305" s="41"/>
      <c r="H305" s="62"/>
      <c r="I305" s="41"/>
      <c r="L305" s="391" t="str">
        <f>IF(OR($O305=$M305,$O305=0,$O305=""),"","* * Check Score! * *")</f>
        <v/>
      </c>
      <c r="M305" s="83">
        <v>2</v>
      </c>
      <c r="N305" s="948" t="s">
        <v>2003</v>
      </c>
      <c r="O305" s="2968"/>
      <c r="P305" s="557"/>
      <c r="Q305" s="1090" t="str">
        <f>IF(OR($O305=$M305,$O305=0,$O305=""),"","*CHECK!*")</f>
        <v/>
      </c>
      <c r="R305" s="1192" t="s">
        <v>2723</v>
      </c>
    </row>
    <row r="306" spans="1:21" s="34" customFormat="1" ht="10.5" customHeight="1">
      <c r="A306" s="1586" t="s">
        <v>756</v>
      </c>
      <c r="B306" s="184" t="s">
        <v>4093</v>
      </c>
      <c r="D306" s="620"/>
      <c r="H306" s="62" t="s">
        <v>4096</v>
      </c>
    </row>
    <row r="307" spans="1:21" s="34" customFormat="1" ht="10.5" customHeight="1">
      <c r="A307" s="1586"/>
      <c r="B307" s="947" t="s">
        <v>3637</v>
      </c>
      <c r="D307" s="620"/>
      <c r="H307" s="62"/>
      <c r="M307" s="616">
        <v>4</v>
      </c>
      <c r="N307" s="484" t="s">
        <v>756</v>
      </c>
      <c r="O307" s="950">
        <f>IF($L$294="Rural", MIN($M$307, SUM(O308:O310)), 0)</f>
        <v>3</v>
      </c>
      <c r="P307" s="950">
        <f>IF($L$294="Rural", MIN($M$307, SUM(P308:P310)), 0)</f>
        <v>0</v>
      </c>
    </row>
    <row r="308" spans="1:21" s="34" customFormat="1" ht="10.5" customHeight="1">
      <c r="B308" s="942" t="s">
        <v>2001</v>
      </c>
      <c r="C308" s="446" t="s">
        <v>3636</v>
      </c>
      <c r="K308" s="2046" t="str">
        <f>IF(OR(AND(O308&gt;0,O310&gt;0), AND(O309&gt;0,O310&gt;0), AND(O308&gt;0,O309&gt;0)),"Choose option 1 or 2 or 3!!!","")</f>
        <v/>
      </c>
      <c r="L308" s="2046"/>
      <c r="M308" s="75">
        <v>4</v>
      </c>
      <c r="N308" s="450" t="s">
        <v>2001</v>
      </c>
      <c r="O308" s="2967"/>
      <c r="P308" s="555"/>
      <c r="Q308" s="1090" t="str">
        <f>IF(OR($O308=$M308,$O308=0,$O308=""),"","*CHECK!*")</f>
        <v/>
      </c>
      <c r="R308" s="1192" t="s">
        <v>2723</v>
      </c>
    </row>
    <row r="309" spans="1:21" ht="10.5" customHeight="1">
      <c r="A309" s="619" t="s">
        <v>1364</v>
      </c>
      <c r="B309" s="621" t="s">
        <v>2003</v>
      </c>
      <c r="C309" s="618" t="s">
        <v>4095</v>
      </c>
      <c r="D309" s="34"/>
      <c r="E309" s="34"/>
      <c r="F309" s="34"/>
      <c r="G309" s="41"/>
      <c r="H309" s="949"/>
      <c r="I309" s="41"/>
      <c r="K309" s="2046"/>
      <c r="L309" s="2046"/>
      <c r="M309" s="83">
        <v>3</v>
      </c>
      <c r="N309" s="948" t="s">
        <v>2003</v>
      </c>
      <c r="O309" s="3087">
        <v>3</v>
      </c>
      <c r="P309" s="556"/>
      <c r="Q309" s="1090" t="str">
        <f t="shared" ref="Q309:Q310" si="5">IF(OR($O309=$M309,$O309=0,$O309=""),"","*CHECK!*")</f>
        <v/>
      </c>
      <c r="R309" s="1192" t="s">
        <v>2723</v>
      </c>
    </row>
    <row r="310" spans="1:21" ht="10.5" customHeight="1">
      <c r="A310" s="619" t="s">
        <v>1364</v>
      </c>
      <c r="B310" s="621" t="s">
        <v>2550</v>
      </c>
      <c r="C310" s="455" t="s">
        <v>3638</v>
      </c>
      <c r="D310" s="34"/>
      <c r="E310" s="34"/>
      <c r="F310" s="34"/>
      <c r="G310" s="41"/>
      <c r="H310" s="62"/>
      <c r="I310" s="41"/>
      <c r="K310" s="2046"/>
      <c r="L310" s="2046"/>
      <c r="M310" s="83">
        <v>2</v>
      </c>
      <c r="N310" s="948" t="s">
        <v>2550</v>
      </c>
      <c r="O310" s="2968"/>
      <c r="P310" s="557"/>
      <c r="Q310" s="1090" t="str">
        <f t="shared" si="5"/>
        <v/>
      </c>
      <c r="R310" s="1192" t="s">
        <v>2723</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2" t="s">
        <v>4710</v>
      </c>
      <c r="B312" s="2933"/>
      <c r="C312" s="2933"/>
      <c r="D312" s="2933"/>
      <c r="E312" s="2933"/>
      <c r="F312" s="2933"/>
      <c r="G312" s="2933"/>
      <c r="H312" s="2933"/>
      <c r="I312" s="2933"/>
      <c r="J312" s="2933"/>
      <c r="K312" s="2933"/>
      <c r="L312" s="2933"/>
      <c r="M312" s="2933"/>
      <c r="N312" s="2933"/>
      <c r="O312" s="2933"/>
      <c r="P312" s="2934"/>
      <c r="Q312" s="1174" t="s">
        <v>1265</v>
      </c>
    </row>
    <row r="313" spans="1:21" s="44" customFormat="1" ht="10.5" customHeight="1" thickTop="1">
      <c r="B313" s="88" t="s">
        <v>1879</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1738</v>
      </c>
      <c r="B316" s="109" t="s">
        <v>2844</v>
      </c>
      <c r="C316" s="55"/>
      <c r="D316" s="119"/>
      <c r="E316" s="119"/>
      <c r="F316" s="42"/>
      <c r="H316" s="62" t="s">
        <v>402</v>
      </c>
      <c r="K316" s="49"/>
      <c r="M316" s="1585">
        <v>1</v>
      </c>
      <c r="N316" s="6"/>
      <c r="O316" s="1247">
        <f>MIN($M316,SUM(O317:O319))</f>
        <v>0</v>
      </c>
      <c r="P316" s="1247">
        <f>MIN($M316,SUM(P317:P319))</f>
        <v>0</v>
      </c>
      <c r="Q316" s="112" t="s">
        <v>443</v>
      </c>
      <c r="T316" s="1169"/>
      <c r="U316" s="1169"/>
    </row>
    <row r="317" spans="1:21" s="105" customFormat="1" ht="11.25" customHeight="1">
      <c r="A317" s="143" t="s">
        <v>1998</v>
      </c>
      <c r="B317" s="172" t="s">
        <v>2248</v>
      </c>
      <c r="D317" s="62"/>
      <c r="E317" s="62"/>
      <c r="F317" s="45"/>
      <c r="G317" s="28"/>
      <c r="L317" s="391" t="str">
        <f>IF(OR($O317=$M317,$O317=0,$O317=""),"","* * Check Score! * *")</f>
        <v/>
      </c>
      <c r="M317" s="7">
        <v>1</v>
      </c>
      <c r="N317" s="484" t="s">
        <v>1998</v>
      </c>
      <c r="O317" s="3088"/>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928" t="s">
        <v>3013</v>
      </c>
      <c r="P318" s="563"/>
      <c r="R318" s="403"/>
      <c r="T318" s="1169"/>
      <c r="U318" s="1169"/>
    </row>
    <row r="319" spans="1:21" s="44" customFormat="1" ht="11.25" customHeight="1">
      <c r="A319" s="143" t="s">
        <v>2000</v>
      </c>
      <c r="B319" s="172" t="s">
        <v>2249</v>
      </c>
      <c r="D319" s="58"/>
      <c r="K319" s="53"/>
      <c r="L319" s="391" t="str">
        <f>IF(OR($O319=$M319,$O319=0,$O319=""),"","* * Check Score! * *")</f>
        <v/>
      </c>
      <c r="M319" s="7">
        <v>1</v>
      </c>
      <c r="N319" s="484" t="s">
        <v>2000</v>
      </c>
      <c r="O319" s="2967"/>
      <c r="P319" s="555"/>
      <c r="Q319" s="1090" t="str">
        <f>IF(OR($O319=$M319,$O319=0,$O319=""),"","*CHECK!*")</f>
        <v/>
      </c>
      <c r="R319" s="1192" t="s">
        <v>2723</v>
      </c>
      <c r="T319" s="1169"/>
      <c r="U319" s="1169"/>
    </row>
    <row r="320" spans="1:21" s="44" customFormat="1" ht="10.5" customHeight="1">
      <c r="A320" s="143"/>
      <c r="B320" s="956" t="s">
        <v>4097</v>
      </c>
      <c r="D320" s="58"/>
      <c r="H320" s="1593"/>
      <c r="K320" s="53"/>
      <c r="L320" s="105"/>
      <c r="M320" s="7"/>
      <c r="N320" s="484"/>
      <c r="O320" s="2928"/>
      <c r="P320" s="563"/>
      <c r="Q320" s="403"/>
      <c r="R320" s="391"/>
      <c r="T320" s="1169"/>
      <c r="U320" s="1169"/>
    </row>
    <row r="321" spans="1:18" s="44" customFormat="1" ht="10.5" customHeight="1">
      <c r="A321" s="43"/>
      <c r="B321" s="88" t="s">
        <v>1879</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2799</v>
      </c>
      <c r="B324" s="109" t="s">
        <v>4098</v>
      </c>
      <c r="C324" s="90"/>
      <c r="D324" s="59"/>
      <c r="E324" s="53"/>
      <c r="G324" s="56"/>
      <c r="M324" s="1585">
        <v>2</v>
      </c>
      <c r="N324" s="6"/>
      <c r="O324" s="6"/>
      <c r="P324" s="1247">
        <f>P325+P330</f>
        <v>0</v>
      </c>
      <c r="Q324" s="112" t="s">
        <v>443</v>
      </c>
    </row>
    <row r="325" spans="1:18" s="44" customFormat="1" ht="12" customHeight="1">
      <c r="A325" s="143" t="s">
        <v>2000</v>
      </c>
      <c r="B325" s="172" t="s">
        <v>4099</v>
      </c>
      <c r="C325" s="90"/>
      <c r="D325" s="59"/>
      <c r="E325" s="53"/>
      <c r="G325" s="508" t="str">
        <f>'Part VIII-Threshold Criteria'!I357</f>
        <v>NA</v>
      </c>
      <c r="J325" s="41" t="s">
        <v>2702</v>
      </c>
      <c r="L325" s="37"/>
      <c r="O325" s="483">
        <f>'Part I-Project Information'!$H$96</f>
        <v>0</v>
      </c>
      <c r="P325" s="558"/>
      <c r="Q325" s="112"/>
    </row>
    <row r="326" spans="1:18" s="105" customFormat="1" ht="10.5" customHeight="1">
      <c r="A326" s="143"/>
      <c r="B326" s="389" t="s">
        <v>2001</v>
      </c>
      <c r="C326" s="37" t="s">
        <v>3482</v>
      </c>
      <c r="D326" s="34"/>
      <c r="N326" s="450" t="s">
        <v>2001</v>
      </c>
      <c r="O326" s="2929"/>
      <c r="P326" s="561"/>
      <c r="R326" s="391"/>
    </row>
    <row r="327" spans="1:18" s="105" customFormat="1" ht="10.5" customHeight="1">
      <c r="A327" s="143"/>
      <c r="B327" s="389" t="s">
        <v>2003</v>
      </c>
      <c r="C327" s="37" t="s">
        <v>4118</v>
      </c>
      <c r="D327" s="34"/>
      <c r="N327" s="948" t="s">
        <v>2003</v>
      </c>
      <c r="O327" s="2935"/>
      <c r="P327" s="562"/>
      <c r="R327" s="391"/>
    </row>
    <row r="328" spans="1:18" s="105" customFormat="1" ht="10.5" customHeight="1">
      <c r="A328" s="143"/>
      <c r="B328" s="389" t="s">
        <v>2550</v>
      </c>
      <c r="C328" s="37" t="s">
        <v>4117</v>
      </c>
      <c r="D328" s="34"/>
      <c r="N328" s="948" t="s">
        <v>2550</v>
      </c>
      <c r="O328" s="2935"/>
      <c r="P328" s="562"/>
      <c r="R328" s="391"/>
    </row>
    <row r="329" spans="1:18" s="105" customFormat="1" ht="10.5" customHeight="1">
      <c r="A329" s="143"/>
      <c r="B329" s="389" t="s">
        <v>1235</v>
      </c>
      <c r="C329" s="37" t="s">
        <v>4119</v>
      </c>
      <c r="D329" s="34"/>
      <c r="N329" s="948" t="s">
        <v>1235</v>
      </c>
      <c r="O329" s="2928"/>
      <c r="P329" s="563"/>
      <c r="R329" s="391"/>
    </row>
    <row r="330" spans="1:18" s="44" customFormat="1" ht="12" customHeight="1">
      <c r="A330" s="143" t="s">
        <v>1998</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2001</v>
      </c>
      <c r="C331" s="37" t="s">
        <v>3482</v>
      </c>
      <c r="D331" s="53"/>
      <c r="E331" s="53"/>
      <c r="M331" s="1585"/>
      <c r="N331" s="450" t="s">
        <v>2001</v>
      </c>
      <c r="O331" s="2929"/>
      <c r="P331" s="561"/>
      <c r="Q331" s="112"/>
    </row>
    <row r="332" spans="1:18" s="105" customFormat="1" ht="10.5" customHeight="1">
      <c r="A332" s="143"/>
      <c r="B332" s="389" t="s">
        <v>2003</v>
      </c>
      <c r="C332" s="37" t="s">
        <v>4131</v>
      </c>
      <c r="D332" s="34"/>
      <c r="N332" s="948" t="s">
        <v>2003</v>
      </c>
      <c r="O332" s="2935"/>
      <c r="P332" s="562"/>
      <c r="R332" s="391"/>
    </row>
    <row r="333" spans="1:18" s="105" customFormat="1" ht="10.5" customHeight="1">
      <c r="A333" s="143"/>
      <c r="B333" s="389" t="s">
        <v>2550</v>
      </c>
      <c r="C333" s="37" t="s">
        <v>4119</v>
      </c>
      <c r="D333" s="34"/>
      <c r="N333" s="948" t="s">
        <v>2550</v>
      </c>
      <c r="O333" s="2928"/>
      <c r="P333" s="563"/>
      <c r="R333" s="391"/>
    </row>
    <row r="334" spans="1:18" s="44" customFormat="1" ht="10.5" customHeight="1">
      <c r="B334" s="88" t="s">
        <v>1879</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2266</v>
      </c>
      <c r="B337" s="108" t="s">
        <v>4101</v>
      </c>
      <c r="H337" s="37" t="s">
        <v>3600</v>
      </c>
      <c r="I337" s="1599" t="str">
        <f>'Part I-Project Information'!$H$100</f>
        <v>Rural</v>
      </c>
      <c r="J337" s="1609"/>
      <c r="L337" s="391" t="str">
        <f>IF(OR($O337=$M337,$O337=0,$O337=""),"","* * Check Score! * *")</f>
        <v/>
      </c>
      <c r="M337" s="1585">
        <v>1</v>
      </c>
      <c r="N337" s="410"/>
      <c r="O337" s="3089"/>
      <c r="P337" s="1250"/>
      <c r="Q337" s="112" t="s">
        <v>443</v>
      </c>
      <c r="R337" s="1192" t="s">
        <v>2723</v>
      </c>
    </row>
    <row r="338" spans="1:18" s="64" customFormat="1" ht="12" customHeight="1">
      <c r="A338" s="1963" t="s">
        <v>4199</v>
      </c>
      <c r="B338" s="1963"/>
      <c r="C338" s="1963"/>
      <c r="D338" s="1963"/>
      <c r="E338" s="1963"/>
      <c r="F338" s="1963"/>
      <c r="G338" s="1963"/>
      <c r="H338" s="1963"/>
      <c r="I338" s="2192" t="s">
        <v>4200</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90" t="s">
        <v>4681</v>
      </c>
      <c r="J339" s="3090"/>
      <c r="K339" s="3090"/>
      <c r="L339" s="3090">
        <v>3</v>
      </c>
      <c r="M339" s="3090"/>
      <c r="N339" s="3090"/>
      <c r="O339" s="3090"/>
      <c r="P339" s="3090"/>
      <c r="R339" s="391"/>
    </row>
    <row r="340" spans="1:18" s="64" customFormat="1" ht="12" customHeight="1">
      <c r="A340" s="1963"/>
      <c r="B340" s="1963"/>
      <c r="C340" s="1963"/>
      <c r="D340" s="1963"/>
      <c r="E340" s="1963"/>
      <c r="F340" s="1963"/>
      <c r="G340" s="1963"/>
      <c r="H340" s="1963"/>
      <c r="I340" s="3091">
        <v>2</v>
      </c>
      <c r="J340" s="3091"/>
      <c r="K340" s="3091"/>
      <c r="L340" s="3091">
        <v>4</v>
      </c>
      <c r="M340" s="3091"/>
      <c r="N340" s="3091"/>
      <c r="O340" s="3091"/>
      <c r="P340" s="3091"/>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2" t="s">
        <v>4682</v>
      </c>
      <c r="B342" s="2933"/>
      <c r="C342" s="2933"/>
      <c r="D342" s="2933"/>
      <c r="E342" s="2933"/>
      <c r="F342" s="2933"/>
      <c r="G342" s="2933"/>
      <c r="H342" s="2933"/>
      <c r="I342" s="2933"/>
      <c r="J342" s="2933"/>
      <c r="K342" s="2933"/>
      <c r="L342" s="2933"/>
      <c r="M342" s="2933"/>
      <c r="N342" s="2933"/>
      <c r="O342" s="2933"/>
      <c r="P342" s="2934"/>
      <c r="Q342" s="1174" t="s">
        <v>1265</v>
      </c>
    </row>
    <row r="343" spans="1:18" s="105" customFormat="1" ht="10.5" customHeight="1" thickTop="1">
      <c r="A343" s="43"/>
      <c r="B343" s="100" t="s">
        <v>1879</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1684</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1998</v>
      </c>
      <c r="B347" s="116" t="s">
        <v>3641</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2723</v>
      </c>
    </row>
    <row r="348" spans="1:18" s="44" customFormat="1" ht="11.25" customHeight="1">
      <c r="B348" s="41" t="s">
        <v>4105</v>
      </c>
      <c r="D348" s="105"/>
      <c r="E348" s="91"/>
      <c r="F348" s="53"/>
      <c r="G348" s="53"/>
      <c r="H348" s="3092" t="s">
        <v>2538</v>
      </c>
      <c r="I348" s="3061"/>
      <c r="J348" s="3061"/>
      <c r="K348" s="3093"/>
      <c r="N348" s="484" t="s">
        <v>1998</v>
      </c>
      <c r="O348" s="1297" t="s">
        <v>2526</v>
      </c>
      <c r="P348" s="1297" t="s">
        <v>2526</v>
      </c>
    </row>
    <row r="349" spans="1:18" s="121" customFormat="1" ht="10.5" customHeight="1">
      <c r="B349" s="450" t="s">
        <v>2001</v>
      </c>
      <c r="C349" s="448" t="s">
        <v>4102</v>
      </c>
      <c r="N349" s="450" t="s">
        <v>2001</v>
      </c>
      <c r="O349" s="2929"/>
      <c r="P349" s="561"/>
    </row>
    <row r="350" spans="1:18" s="121" customFormat="1" ht="10.5" customHeight="1">
      <c r="B350" s="450" t="s">
        <v>2003</v>
      </c>
      <c r="C350" s="448" t="s">
        <v>4103</v>
      </c>
      <c r="N350" s="450" t="s">
        <v>2003</v>
      </c>
      <c r="O350" s="2935"/>
      <c r="P350" s="562"/>
    </row>
    <row r="351" spans="1:18" s="121" customFormat="1" ht="10.5" customHeight="1">
      <c r="B351" s="450" t="s">
        <v>2550</v>
      </c>
      <c r="C351" s="448" t="s">
        <v>4104</v>
      </c>
      <c r="N351" s="450" t="s">
        <v>2550</v>
      </c>
      <c r="O351" s="2928"/>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2000</v>
      </c>
      <c r="B354" s="184" t="s">
        <v>2814</v>
      </c>
      <c r="D354" s="34"/>
      <c r="H354" s="2147" t="s">
        <v>3508</v>
      </c>
      <c r="I354" s="2147"/>
      <c r="J354" s="2147"/>
      <c r="K354" s="2147"/>
      <c r="L354" s="2147"/>
      <c r="M354" s="1236">
        <v>1</v>
      </c>
      <c r="N354" s="67" t="s">
        <v>2000</v>
      </c>
      <c r="O354" s="2973"/>
      <c r="P354" s="1231"/>
      <c r="Q354" s="1090" t="str">
        <f>IF(OR($O354=$M354,$O354=0,$O354=""),"","*CHECK!*")</f>
        <v/>
      </c>
      <c r="R354" s="1192" t="s">
        <v>2723</v>
      </c>
    </row>
    <row r="355" spans="1:19" s="34" customFormat="1" ht="10.5" customHeight="1">
      <c r="B355" s="515" t="s">
        <v>2815</v>
      </c>
      <c r="E355" s="620"/>
      <c r="O355" s="2978"/>
      <c r="P355" s="566"/>
      <c r="Q355" s="179"/>
    </row>
    <row r="356" spans="1:19" s="34" customFormat="1" ht="10.5" customHeight="1">
      <c r="A356" s="532"/>
      <c r="B356" s="139" t="s">
        <v>3644</v>
      </c>
      <c r="C356" s="953" t="str">
        <f>'Part I-Project Information'!$F$38</f>
        <v>Dublin</v>
      </c>
      <c r="E356" s="139" t="s">
        <v>3507</v>
      </c>
      <c r="F356" s="953" t="str">
        <f>'Part I-Project Information'!$J$39</f>
        <v>Laurens</v>
      </c>
      <c r="H356" s="448" t="s">
        <v>455</v>
      </c>
      <c r="I356" s="910" t="str">
        <f>'Part I-Project Information'!$N$39</f>
        <v>Yes</v>
      </c>
      <c r="K356" s="448" t="s">
        <v>3643</v>
      </c>
      <c r="L356" s="2148" t="str">
        <f>'Part I-Project Information'!$O$38</f>
        <v>9504</v>
      </c>
      <c r="M356" s="2148"/>
      <c r="N356" s="2148"/>
      <c r="O356" s="2148"/>
      <c r="P356" s="214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2" t="s">
        <v>4683</v>
      </c>
      <c r="B358" s="2933"/>
      <c r="C358" s="2933"/>
      <c r="D358" s="2933"/>
      <c r="E358" s="2933"/>
      <c r="F358" s="2933"/>
      <c r="G358" s="2933"/>
      <c r="H358" s="2933"/>
      <c r="I358" s="2933"/>
      <c r="J358" s="2933"/>
      <c r="K358" s="2933"/>
      <c r="L358" s="2933"/>
      <c r="M358" s="2933"/>
      <c r="N358" s="2933"/>
      <c r="O358" s="2933"/>
      <c r="P358" s="2934"/>
      <c r="Q358" s="1174" t="s">
        <v>1265</v>
      </c>
    </row>
    <row r="359" spans="1:19" s="105" customFormat="1" ht="10.5" customHeight="1" thickTop="1">
      <c r="A359" s="43"/>
      <c r="B359" s="100" t="s">
        <v>1879</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4156</v>
      </c>
      <c r="B362" s="108" t="s">
        <v>4108</v>
      </c>
      <c r="D362" s="91"/>
      <c r="E362" s="91"/>
      <c r="F362" s="53"/>
      <c r="G362" s="53"/>
      <c r="H362" s="172" t="s">
        <v>2811</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2149" t="str">
        <f>IF(OR(O364="No",O364="",O365="No",O365="",O366="No",O366="",O367="No",O367=""),"Unmet criterion results in no points!","")</f>
        <v>Unmet criterion results in no points!</v>
      </c>
      <c r="M364" s="2149"/>
      <c r="N364" s="390" t="s">
        <v>2450</v>
      </c>
      <c r="O364" s="2929" t="s">
        <v>4621</v>
      </c>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2451</v>
      </c>
      <c r="C365" s="446" t="s">
        <v>3840</v>
      </c>
      <c r="L365" s="2149"/>
      <c r="M365" s="2149"/>
      <c r="N365" s="402" t="s">
        <v>2451</v>
      </c>
      <c r="O365" s="2935" t="s">
        <v>4621</v>
      </c>
      <c r="P365" s="562"/>
      <c r="R365" s="2146"/>
      <c r="S365" s="2146"/>
    </row>
    <row r="366" spans="1:19" s="103" customFormat="1" ht="10.5" customHeight="1">
      <c r="B366" s="390" t="s">
        <v>2452</v>
      </c>
      <c r="C366" s="446" t="s">
        <v>3839</v>
      </c>
      <c r="L366" s="2149"/>
      <c r="M366" s="2149"/>
      <c r="N366" s="390" t="s">
        <v>2452</v>
      </c>
      <c r="O366" s="2935" t="s">
        <v>4621</v>
      </c>
      <c r="P366" s="562"/>
      <c r="R366" s="2146"/>
      <c r="S366" s="2146"/>
    </row>
    <row r="367" spans="1:19" s="103" customFormat="1" ht="29.25" customHeight="1">
      <c r="B367" s="402" t="s">
        <v>2453</v>
      </c>
      <c r="C367" s="2055" t="s">
        <v>4109</v>
      </c>
      <c r="D367" s="2055"/>
      <c r="E367" s="2055"/>
      <c r="F367" s="2055"/>
      <c r="G367" s="2055"/>
      <c r="H367" s="2055"/>
      <c r="I367" s="2055"/>
      <c r="J367" s="2055"/>
      <c r="K367" s="2055"/>
      <c r="L367" s="2055"/>
      <c r="M367" s="2055"/>
      <c r="N367" s="402" t="s">
        <v>2453</v>
      </c>
      <c r="O367" s="3094" t="s">
        <v>3013</v>
      </c>
      <c r="P367" s="1282"/>
    </row>
    <row r="368" spans="1:19" ht="3" customHeight="1">
      <c r="C368" s="2055"/>
      <c r="D368" s="2055"/>
      <c r="E368" s="2055"/>
      <c r="F368" s="2055"/>
      <c r="G368" s="2055"/>
      <c r="H368" s="2055"/>
      <c r="I368" s="2055"/>
      <c r="J368" s="2055"/>
      <c r="K368" s="2055"/>
      <c r="L368" s="2055"/>
      <c r="M368" s="2055"/>
    </row>
    <row r="369" spans="1:18" ht="11.25" customHeight="1">
      <c r="A369" s="1124" t="s">
        <v>1998</v>
      </c>
      <c r="B369" s="184" t="s">
        <v>4110</v>
      </c>
      <c r="L369" s="391" t="str">
        <f>IF(OR($O369=$M369,$O369=0,$O369=""),"","* * Check Score! * *")</f>
        <v/>
      </c>
      <c r="M369" s="1236">
        <v>3</v>
      </c>
      <c r="N369" s="484" t="s">
        <v>1998</v>
      </c>
      <c r="O369" s="2963"/>
      <c r="P369" s="912"/>
      <c r="Q369" s="1090" t="str">
        <f>IF(OR($O369=$M369,$O369=0,$O369=""),"","*CHECK!*")</f>
        <v/>
      </c>
      <c r="R369" s="1192" t="s">
        <v>2723</v>
      </c>
    </row>
    <row r="370" spans="1:18" ht="22.5" customHeight="1">
      <c r="A370" s="1124"/>
      <c r="B370" s="456" t="s">
        <v>2001</v>
      </c>
      <c r="C370" s="2020" t="s">
        <v>4111</v>
      </c>
      <c r="D370" s="2020"/>
      <c r="E370" s="2020"/>
      <c r="F370" s="2020"/>
      <c r="G370" s="2020"/>
      <c r="H370" s="2020"/>
      <c r="I370" s="2020"/>
      <c r="J370" s="2206" t="s">
        <v>2005</v>
      </c>
      <c r="K370" s="2206"/>
      <c r="M370" s="2206" t="s">
        <v>2005</v>
      </c>
      <c r="N370" s="2206"/>
      <c r="O370" s="2206"/>
      <c r="P370" s="2206"/>
    </row>
    <row r="371" spans="1:18" s="44" customFormat="1" ht="10.5" customHeight="1">
      <c r="A371" s="182"/>
      <c r="B371" s="390" t="s">
        <v>2450</v>
      </c>
      <c r="C371" s="37" t="s">
        <v>1493</v>
      </c>
      <c r="I371" s="390" t="s">
        <v>2450</v>
      </c>
      <c r="J371" s="3095"/>
      <c r="K371" s="3096"/>
      <c r="L371" s="390" t="s">
        <v>2450</v>
      </c>
      <c r="M371" s="2138"/>
      <c r="N371" s="2139"/>
      <c r="O371" s="2139"/>
      <c r="P371" s="2140"/>
      <c r="R371" s="391"/>
    </row>
    <row r="372" spans="1:18" ht="10.5" customHeight="1">
      <c r="A372" s="183"/>
      <c r="B372" s="402" t="s">
        <v>2451</v>
      </c>
      <c r="C372" s="37" t="s">
        <v>3648</v>
      </c>
      <c r="I372" s="402" t="s">
        <v>2451</v>
      </c>
      <c r="J372" s="3097"/>
      <c r="K372" s="3098"/>
      <c r="L372" s="402" t="s">
        <v>2451</v>
      </c>
      <c r="M372" s="2131"/>
      <c r="N372" s="2132"/>
      <c r="O372" s="2132"/>
      <c r="P372" s="2133"/>
      <c r="R372" s="391"/>
    </row>
    <row r="373" spans="1:18" ht="10.5" customHeight="1">
      <c r="B373" s="390" t="s">
        <v>2452</v>
      </c>
      <c r="C373" s="37" t="s">
        <v>2642</v>
      </c>
      <c r="I373" s="390" t="s">
        <v>2452</v>
      </c>
      <c r="J373" s="3097"/>
      <c r="K373" s="3098"/>
      <c r="L373" s="390" t="s">
        <v>2452</v>
      </c>
      <c r="M373" s="2131"/>
      <c r="N373" s="2132"/>
      <c r="O373" s="2132"/>
      <c r="P373" s="2133"/>
      <c r="R373" s="391"/>
    </row>
    <row r="374" spans="1:18" ht="10.5" customHeight="1">
      <c r="A374" s="183"/>
      <c r="B374" s="390" t="s">
        <v>2453</v>
      </c>
      <c r="C374" s="37" t="s">
        <v>3483</v>
      </c>
      <c r="I374" s="390" t="s">
        <v>2453</v>
      </c>
      <c r="J374" s="3097"/>
      <c r="K374" s="3098"/>
      <c r="L374" s="390" t="s">
        <v>2453</v>
      </c>
      <c r="M374" s="2131"/>
      <c r="N374" s="2132"/>
      <c r="O374" s="2132"/>
      <c r="P374" s="2133"/>
      <c r="R374" s="391"/>
    </row>
    <row r="375" spans="1:18" s="44" customFormat="1" ht="10.5" customHeight="1">
      <c r="A375" s="182"/>
      <c r="B375" s="402" t="s">
        <v>2454</v>
      </c>
      <c r="C375" s="37" t="s">
        <v>2748</v>
      </c>
      <c r="I375" s="402" t="s">
        <v>2454</v>
      </c>
      <c r="J375" s="3097"/>
      <c r="K375" s="3098"/>
      <c r="L375" s="402" t="s">
        <v>2454</v>
      </c>
      <c r="M375" s="2131"/>
      <c r="N375" s="2132"/>
      <c r="O375" s="2132"/>
      <c r="P375" s="2133"/>
      <c r="R375" s="391"/>
    </row>
    <row r="376" spans="1:18" ht="10.5" customHeight="1">
      <c r="B376" s="390" t="s">
        <v>2470</v>
      </c>
      <c r="C376" s="37" t="s">
        <v>1492</v>
      </c>
      <c r="I376" s="390" t="s">
        <v>2470</v>
      </c>
      <c r="J376" s="3097"/>
      <c r="K376" s="3098"/>
      <c r="L376" s="390" t="s">
        <v>2470</v>
      </c>
      <c r="M376" s="2131"/>
      <c r="N376" s="2132"/>
      <c r="O376" s="2132"/>
      <c r="P376" s="2133"/>
      <c r="R376" s="391"/>
    </row>
    <row r="377" spans="1:18" ht="10.5" customHeight="1">
      <c r="A377" s="183"/>
      <c r="B377" s="390" t="s">
        <v>2471</v>
      </c>
      <c r="C377" s="37" t="s">
        <v>3646</v>
      </c>
      <c r="I377" s="390" t="s">
        <v>2471</v>
      </c>
      <c r="J377" s="3097"/>
      <c r="K377" s="3098"/>
      <c r="L377" s="390" t="s">
        <v>2471</v>
      </c>
      <c r="M377" s="2131"/>
      <c r="N377" s="2132"/>
      <c r="O377" s="2132"/>
      <c r="P377" s="2133"/>
      <c r="R377" s="391"/>
    </row>
    <row r="378" spans="1:18" ht="10.5" customHeight="1">
      <c r="A378" s="183"/>
      <c r="B378" s="401" t="s">
        <v>2472</v>
      </c>
      <c r="C378" s="37" t="s">
        <v>4114</v>
      </c>
      <c r="I378" s="401" t="s">
        <v>2472</v>
      </c>
      <c r="J378" s="3097"/>
      <c r="K378" s="3098"/>
      <c r="L378" s="401" t="s">
        <v>2472</v>
      </c>
      <c r="M378" s="2131"/>
      <c r="N378" s="2132"/>
      <c r="O378" s="2132"/>
      <c r="P378" s="2133"/>
      <c r="R378" s="391"/>
    </row>
    <row r="379" spans="1:18" ht="10.5" customHeight="1">
      <c r="B379" s="401" t="s">
        <v>2473</v>
      </c>
      <c r="C379" s="37" t="s">
        <v>3647</v>
      </c>
      <c r="I379" s="401" t="s">
        <v>2473</v>
      </c>
      <c r="J379" s="3097"/>
      <c r="K379" s="3098"/>
      <c r="L379" s="401" t="s">
        <v>2473</v>
      </c>
      <c r="M379" s="2131"/>
      <c r="N379" s="2132"/>
      <c r="O379" s="2132"/>
      <c r="P379" s="2133"/>
      <c r="R379" s="391"/>
    </row>
    <row r="380" spans="1:18" ht="10.5" customHeight="1" thickBot="1">
      <c r="B380" s="401" t="s">
        <v>3649</v>
      </c>
      <c r="C380" s="37" t="s">
        <v>4193</v>
      </c>
      <c r="I380" s="401" t="s">
        <v>3649</v>
      </c>
      <c r="J380" s="3097"/>
      <c r="K380" s="3098"/>
      <c r="L380" s="401" t="s">
        <v>3649</v>
      </c>
      <c r="M380" s="2185"/>
      <c r="N380" s="2186"/>
      <c r="O380" s="2186"/>
      <c r="P380" s="2187"/>
      <c r="R380" s="391"/>
    </row>
    <row r="381" spans="1:18" ht="10.5" customHeight="1" thickBot="1">
      <c r="A381" s="183"/>
      <c r="B381" s="1295" t="s">
        <v>4115</v>
      </c>
      <c r="H381" s="1331" t="s">
        <v>2644</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2003</v>
      </c>
      <c r="C383" s="539" t="s">
        <v>2643</v>
      </c>
      <c r="E383" s="448" t="s">
        <v>2645</v>
      </c>
      <c r="H383" s="3099"/>
      <c r="I383" s="1230"/>
      <c r="J383" s="2163">
        <f>'Part IV-A-Uses of Funds'!$G$132</f>
        <v>3838818</v>
      </c>
      <c r="K383" s="2164"/>
      <c r="M383" s="526"/>
      <c r="N383" s="526"/>
      <c r="O383" s="164"/>
      <c r="P383" s="526"/>
    </row>
    <row r="384" spans="1:18" ht="10.5" customHeight="1">
      <c r="A384" s="2191" t="s">
        <v>4304</v>
      </c>
      <c r="B384" s="2191"/>
      <c r="C384" s="2191"/>
      <c r="D384" s="2191"/>
      <c r="E384" s="453" t="s">
        <v>2646</v>
      </c>
      <c r="H384" s="3100"/>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4303</v>
      </c>
      <c r="H385" s="3101"/>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2000</v>
      </c>
      <c r="B387" s="186" t="s">
        <v>3650</v>
      </c>
      <c r="D387" s="40"/>
      <c r="E387" s="37"/>
      <c r="F387" s="941"/>
      <c r="H387" s="37"/>
      <c r="I387" s="941"/>
      <c r="J387" s="956"/>
      <c r="K387" s="956"/>
      <c r="L387" s="391" t="str">
        <f>IF(OR($O387=$M387,$O387=0,$O387=""),"","* * Check Score! * *")</f>
        <v/>
      </c>
      <c r="M387" s="627">
        <v>1</v>
      </c>
      <c r="N387" s="67" t="s">
        <v>2000</v>
      </c>
      <c r="O387" s="2973"/>
      <c r="P387" s="1231"/>
      <c r="Q387" s="112" t="s">
        <v>443</v>
      </c>
      <c r="R387" s="1192" t="s">
        <v>2723</v>
      </c>
      <c r="V387" s="1169"/>
      <c r="W387" s="1169"/>
    </row>
    <row r="388" spans="1:23" s="44" customFormat="1" ht="22.5" customHeight="1">
      <c r="A388" s="143"/>
      <c r="B388" s="1102" t="s">
        <v>2450</v>
      </c>
      <c r="C388" s="1963" t="s">
        <v>4112</v>
      </c>
      <c r="D388" s="1963"/>
      <c r="E388" s="1963"/>
      <c r="F388" s="1963"/>
      <c r="G388" s="1963"/>
      <c r="H388" s="1963"/>
      <c r="I388" s="1963"/>
      <c r="J388" s="1963"/>
      <c r="K388" s="1963"/>
      <c r="L388" s="1963"/>
      <c r="M388" s="1963"/>
      <c r="N388" s="402" t="s">
        <v>2450</v>
      </c>
      <c r="O388" s="3102"/>
      <c r="P388" s="1248"/>
      <c r="V388" s="1169"/>
      <c r="W388" s="1169"/>
    </row>
    <row r="389" spans="1:23" s="44" customFormat="1" ht="10.5" customHeight="1">
      <c r="A389" s="143"/>
      <c r="B389" s="390" t="s">
        <v>2451</v>
      </c>
      <c r="C389" s="53" t="s">
        <v>3832</v>
      </c>
      <c r="D389" s="53"/>
      <c r="E389" s="53"/>
      <c r="F389" s="53"/>
      <c r="G389" s="53"/>
      <c r="H389" s="53"/>
      <c r="I389" s="53"/>
      <c r="J389" s="53"/>
      <c r="K389" s="53"/>
      <c r="M389" s="53"/>
      <c r="N389" s="402" t="s">
        <v>2451</v>
      </c>
      <c r="O389" s="2928"/>
      <c r="P389" s="563"/>
      <c r="V389" s="1169"/>
      <c r="W389" s="1169"/>
    </row>
    <row r="390" spans="1:23" ht="10.5" customHeight="1">
      <c r="B390" s="390" t="s">
        <v>2452</v>
      </c>
      <c r="C390" s="446" t="s">
        <v>4113</v>
      </c>
      <c r="N390" s="390" t="s">
        <v>2452</v>
      </c>
      <c r="O390" s="2928"/>
      <c r="P390" s="563"/>
    </row>
    <row r="391" spans="1:23" ht="12" customHeight="1" thickBot="1">
      <c r="B391" s="1332" t="s">
        <v>3784</v>
      </c>
    </row>
    <row r="392" spans="1:23" s="44" customFormat="1" ht="21.75" customHeight="1" thickTop="1" thickBot="1">
      <c r="A392" s="2932" t="s">
        <v>4711</v>
      </c>
      <c r="B392" s="2933"/>
      <c r="C392" s="2933"/>
      <c r="D392" s="2933"/>
      <c r="E392" s="2933"/>
      <c r="F392" s="2933"/>
      <c r="G392" s="2933"/>
      <c r="H392" s="2933"/>
      <c r="I392" s="2933"/>
      <c r="J392" s="2933"/>
      <c r="K392" s="2933"/>
      <c r="L392" s="2933"/>
      <c r="M392" s="2933"/>
      <c r="N392" s="2933"/>
      <c r="O392" s="2933"/>
      <c r="P392" s="2934"/>
      <c r="Q392" s="1174" t="s">
        <v>1265</v>
      </c>
    </row>
    <row r="393" spans="1:23" s="105" customFormat="1" ht="11.25" customHeight="1" thickTop="1">
      <c r="A393" s="43"/>
      <c r="B393" s="528" t="s">
        <v>1879</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2736</v>
      </c>
      <c r="D396" s="59"/>
      <c r="E396" s="53"/>
      <c r="J396" s="62"/>
      <c r="M396" s="1585">
        <v>3</v>
      </c>
      <c r="N396" s="6"/>
      <c r="O396" s="1194">
        <f>MIN($M396,O397+O405)</f>
        <v>0</v>
      </c>
      <c r="P396" s="1247">
        <f>MIN($M396,P397+P405)</f>
        <v>0</v>
      </c>
      <c r="Q396" s="112" t="s">
        <v>443</v>
      </c>
    </row>
    <row r="397" spans="1:23" s="44" customFormat="1" ht="12" customHeight="1">
      <c r="A397" s="143" t="s">
        <v>1998</v>
      </c>
      <c r="B397" s="172" t="s">
        <v>3676</v>
      </c>
      <c r="D397" s="34"/>
      <c r="E397" s="34"/>
      <c r="F397" s="34"/>
      <c r="J397" s="1336" t="s">
        <v>3843</v>
      </c>
      <c r="K397" s="1337"/>
      <c r="L397" s="1125">
        <f>'Part VI-Revenues &amp; Expenses'!$O$62*0.1</f>
        <v>4.8000000000000007</v>
      </c>
      <c r="M397" s="6">
        <v>2</v>
      </c>
      <c r="N397" s="484" t="s">
        <v>1998</v>
      </c>
      <c r="O397" s="1246">
        <f>IF(AND($M$398="",O398="Agree",O401="Yes",O402="Yes",O403="Yes"),$M$397,0)</f>
        <v>0</v>
      </c>
      <c r="P397" s="1246">
        <f>IF(AND(P398="Agree",P401="Yes",P402="Yes",P403="Yes"),$M$397,0)</f>
        <v>0</v>
      </c>
      <c r="Q397" s="403"/>
      <c r="R397" s="112"/>
    </row>
    <row r="398" spans="1:23" s="427" customFormat="1" ht="11.25" customHeight="1">
      <c r="A398" s="148"/>
      <c r="B398" s="456" t="s">
        <v>2001</v>
      </c>
      <c r="C398" s="1998" t="s">
        <v>3842</v>
      </c>
      <c r="D398" s="1998"/>
      <c r="E398" s="1998"/>
      <c r="F398" s="1998"/>
      <c r="G398" s="1998"/>
      <c r="H398" s="1998"/>
      <c r="I398" s="1998"/>
      <c r="J398" s="1338" t="s">
        <v>3845</v>
      </c>
      <c r="K398" s="1334"/>
      <c r="L398" s="1127">
        <f>'Part VI-Revenues &amp; Expenses'!$O$58</f>
        <v>48</v>
      </c>
      <c r="M398" s="2134" t="str">
        <f>IF(L400&lt;L399,"Check 1BR LI count!","")</f>
        <v/>
      </c>
      <c r="N398" s="404" t="s">
        <v>2001</v>
      </c>
      <c r="O398" s="3067" t="s">
        <v>4624</v>
      </c>
      <c r="P398" s="1262"/>
      <c r="Q398" s="541"/>
      <c r="R398" s="535"/>
    </row>
    <row r="399" spans="1:23" s="427" customFormat="1" ht="11.25" customHeight="1">
      <c r="A399" s="148"/>
      <c r="B399" s="456"/>
      <c r="C399" s="1998"/>
      <c r="D399" s="1998"/>
      <c r="E399" s="1998"/>
      <c r="F399" s="1998"/>
      <c r="G399" s="1998"/>
      <c r="H399" s="1998"/>
      <c r="I399" s="1998"/>
      <c r="J399" s="1338" t="s">
        <v>3846</v>
      </c>
      <c r="K399" s="1335"/>
      <c r="L399" s="1128">
        <f>L398*0.1</f>
        <v>4.8000000000000007</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3847</v>
      </c>
      <c r="K400" s="1340"/>
      <c r="L400" s="1129">
        <f>'Part VI-Revenues &amp; Expenses'!$K$58</f>
        <v>20</v>
      </c>
      <c r="M400" s="2134"/>
      <c r="N400" s="404"/>
      <c r="O400" s="404"/>
      <c r="P400" s="404"/>
      <c r="Q400" s="541"/>
      <c r="R400" s="535"/>
    </row>
    <row r="401" spans="1:18" s="451" customFormat="1" ht="11.25" customHeight="1">
      <c r="A401" s="552"/>
      <c r="B401" s="456" t="s">
        <v>2003</v>
      </c>
      <c r="C401" s="2141" t="s">
        <v>3415</v>
      </c>
      <c r="D401" s="2141"/>
      <c r="E401" s="2141"/>
      <c r="F401" s="2141"/>
      <c r="G401" s="2141"/>
      <c r="H401" s="2141"/>
      <c r="I401" s="2141"/>
      <c r="J401" s="2141"/>
      <c r="K401" s="2141"/>
      <c r="L401" s="2141"/>
      <c r="M401" s="2141"/>
      <c r="N401" s="404" t="s">
        <v>2003</v>
      </c>
      <c r="O401" s="2929" t="s">
        <v>4621</v>
      </c>
      <c r="P401" s="561"/>
    </row>
    <row r="402" spans="1:18" s="451" customFormat="1" ht="11.25" customHeight="1">
      <c r="A402" s="552"/>
      <c r="B402" s="456" t="s">
        <v>2550</v>
      </c>
      <c r="C402" s="405" t="s">
        <v>3844</v>
      </c>
      <c r="D402" s="405"/>
      <c r="E402" s="405"/>
      <c r="F402" s="405"/>
      <c r="G402" s="405"/>
      <c r="H402" s="405"/>
      <c r="I402" s="405"/>
      <c r="J402" s="405"/>
      <c r="K402" s="405"/>
      <c r="L402" s="405"/>
      <c r="M402" s="405"/>
      <c r="N402" s="404" t="s">
        <v>2550</v>
      </c>
      <c r="O402" s="2935" t="s">
        <v>4621</v>
      </c>
      <c r="P402" s="562"/>
    </row>
    <row r="403" spans="1:18" s="451" customFormat="1" ht="11.25" customHeight="1">
      <c r="A403" s="552"/>
      <c r="B403" s="456" t="s">
        <v>1235</v>
      </c>
      <c r="C403" s="2141" t="s">
        <v>3841</v>
      </c>
      <c r="D403" s="2141"/>
      <c r="E403" s="2141"/>
      <c r="F403" s="2141"/>
      <c r="G403" s="2141"/>
      <c r="H403" s="2141"/>
      <c r="I403" s="2141"/>
      <c r="J403" s="2141"/>
      <c r="K403" s="2141"/>
      <c r="L403" s="2141"/>
      <c r="M403" s="2141"/>
      <c r="N403" s="404" t="s">
        <v>1235</v>
      </c>
      <c r="O403" s="2928" t="s">
        <v>4621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2000</v>
      </c>
      <c r="B405" s="172" t="s">
        <v>2737</v>
      </c>
      <c r="D405" s="41"/>
      <c r="G405" s="37"/>
      <c r="M405" s="6">
        <v>3</v>
      </c>
      <c r="N405" s="484" t="s">
        <v>2000</v>
      </c>
      <c r="O405" s="1130">
        <f>IF(AND(O406="Agree",O408="Agree",$M$408&gt;=15%),$M$405,0)</f>
        <v>0</v>
      </c>
      <c r="P405" s="1130">
        <f>IF(AND(P406="Agree",P408="Agree",$M$408&gt;=15%),$M$405,0)</f>
        <v>0</v>
      </c>
      <c r="Q405" s="403"/>
      <c r="R405" s="391"/>
    </row>
    <row r="406" spans="1:18" s="427" customFormat="1" ht="22.5" customHeight="1">
      <c r="A406" s="148"/>
      <c r="B406" s="456" t="s">
        <v>2001</v>
      </c>
      <c r="C406" s="1998" t="s">
        <v>3864</v>
      </c>
      <c r="D406" s="1998"/>
      <c r="E406" s="1998"/>
      <c r="F406" s="1998"/>
      <c r="G406" s="1998"/>
      <c r="H406" s="1998"/>
      <c r="I406" s="1998"/>
      <c r="J406" s="1998"/>
      <c r="K406" s="1998"/>
      <c r="L406" s="1998"/>
      <c r="M406" s="622"/>
      <c r="N406" s="404" t="s">
        <v>2001</v>
      </c>
      <c r="O406" s="3067" t="s">
        <v>4624</v>
      </c>
      <c r="P406" s="1262"/>
      <c r="Q406" s="541"/>
      <c r="R406" s="535"/>
    </row>
    <row r="407" spans="1:18" s="427" customFormat="1" ht="11.25" customHeight="1">
      <c r="A407" s="148"/>
      <c r="B407" s="456"/>
      <c r="C407" s="498" t="s">
        <v>3681</v>
      </c>
      <c r="D407" s="1589"/>
      <c r="E407" s="1589"/>
      <c r="F407" s="1589"/>
      <c r="G407" s="3103"/>
      <c r="H407" s="3104"/>
      <c r="I407" s="3105"/>
      <c r="J407" s="1369" t="s">
        <v>3682</v>
      </c>
      <c r="L407" s="3106"/>
      <c r="M407" s="622"/>
      <c r="N407" s="404"/>
      <c r="O407" s="404"/>
      <c r="P407" s="404"/>
      <c r="Q407" s="541"/>
      <c r="R407" s="535"/>
    </row>
    <row r="408" spans="1:18" s="451" customFormat="1" ht="11.25" customHeight="1">
      <c r="A408" s="552"/>
      <c r="B408" s="456" t="s">
        <v>2003</v>
      </c>
      <c r="C408" s="405" t="s">
        <v>3416</v>
      </c>
      <c r="D408" s="405"/>
      <c r="E408" s="405"/>
      <c r="F408" s="405"/>
      <c r="G408" s="405"/>
      <c r="H408" s="405"/>
      <c r="I408" s="405"/>
      <c r="J408" s="405" t="s">
        <v>3680</v>
      </c>
      <c r="K408" s="405"/>
      <c r="L408" s="3107"/>
      <c r="M408" s="973">
        <f>IF('Part VI-Revenues &amp; Expenses'!$O$62=0,0,L408/'Part VI-Revenues &amp; Expenses'!$O$62)</f>
        <v>0</v>
      </c>
      <c r="N408" s="404" t="s">
        <v>2003</v>
      </c>
      <c r="O408" s="3067"/>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2" t="s">
        <v>4712</v>
      </c>
      <c r="B410" s="2933"/>
      <c r="C410" s="2933"/>
      <c r="D410" s="2933"/>
      <c r="E410" s="2933"/>
      <c r="F410" s="2933"/>
      <c r="G410" s="2933"/>
      <c r="H410" s="2933"/>
      <c r="I410" s="2933"/>
      <c r="J410" s="2933"/>
      <c r="K410" s="2933"/>
      <c r="L410" s="2933"/>
      <c r="M410" s="2933"/>
      <c r="N410" s="2933"/>
      <c r="O410" s="2933"/>
      <c r="P410" s="2934"/>
      <c r="Q410" s="1174" t="s">
        <v>1265</v>
      </c>
      <c r="R410" s="462"/>
    </row>
    <row r="411" spans="1:18" s="44" customFormat="1" ht="10.5" customHeight="1" thickTop="1">
      <c r="B411" s="88" t="s">
        <v>1879</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2738</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2" t="s">
        <v>2922</v>
      </c>
      <c r="E416" s="3061"/>
      <c r="F416" s="3061"/>
      <c r="G416" s="3061"/>
      <c r="H416" s="3061"/>
      <c r="I416" s="3093"/>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1998</v>
      </c>
      <c r="B418" s="89" t="s">
        <v>3702</v>
      </c>
      <c r="C418" s="405"/>
      <c r="D418" s="405"/>
      <c r="E418" s="405"/>
      <c r="F418" s="405"/>
      <c r="G418" s="405"/>
      <c r="H418" s="405"/>
      <c r="I418" s="405"/>
      <c r="M418" s="428">
        <v>1</v>
      </c>
      <c r="N418" s="166" t="s">
        <v>1998</v>
      </c>
      <c r="O418" s="2963"/>
      <c r="P418" s="912"/>
      <c r="Q418" s="1090" t="str">
        <f>IF(OR($O418=$M418,$O418=0,$O418=""),"","*CHECK!*")</f>
        <v/>
      </c>
      <c r="R418" s="1192" t="s">
        <v>2723</v>
      </c>
    </row>
    <row r="419" spans="1:19" s="427" customFormat="1" ht="12" customHeight="1">
      <c r="A419" s="426"/>
      <c r="B419" s="2041" t="s">
        <v>4250</v>
      </c>
      <c r="C419" s="2041"/>
      <c r="D419" s="2041"/>
      <c r="E419" s="2041"/>
      <c r="F419" s="2041"/>
      <c r="G419" s="2041"/>
      <c r="H419" s="2041"/>
      <c r="I419" s="2041"/>
      <c r="J419" s="2041"/>
      <c r="K419" s="2041"/>
      <c r="L419" s="2041"/>
      <c r="M419" s="1998" t="s">
        <v>4252</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2847</v>
      </c>
      <c r="N421" s="428"/>
      <c r="O421" s="2170">
        <f>'Part VI-Revenues &amp; Expenses'!$O$62</f>
        <v>48</v>
      </c>
      <c r="P421" s="2171"/>
      <c r="Q421" s="179"/>
    </row>
    <row r="422" spans="1:19" s="427" customFormat="1" ht="12" customHeight="1">
      <c r="B422" s="2162"/>
      <c r="C422" s="2162"/>
      <c r="D422" s="2162"/>
      <c r="E422" s="2162"/>
      <c r="F422" s="2162"/>
      <c r="G422" s="2162"/>
      <c r="H422" s="2162"/>
      <c r="I422" s="2162"/>
      <c r="J422" s="2162"/>
      <c r="K422" s="2162"/>
      <c r="L422" s="2162"/>
      <c r="M422" s="550" t="s">
        <v>2848</v>
      </c>
      <c r="N422" s="428"/>
      <c r="O422" s="2158">
        <f>IF(O421=0,0,O420/O421)</f>
        <v>0</v>
      </c>
      <c r="P422" s="2159"/>
      <c r="Q422" s="179"/>
    </row>
    <row r="423" spans="1:19" s="44" customFormat="1" ht="66.75" customHeight="1">
      <c r="A423" s="552"/>
      <c r="B423" s="3108" t="s">
        <v>4257</v>
      </c>
      <c r="C423" s="3109"/>
      <c r="D423" s="3109"/>
      <c r="E423" s="3109"/>
      <c r="F423" s="3109"/>
      <c r="G423" s="3109"/>
      <c r="H423" s="3109"/>
      <c r="I423" s="3109"/>
      <c r="J423" s="3109"/>
      <c r="K423" s="3109"/>
      <c r="L423" s="3109"/>
      <c r="M423" s="3109"/>
      <c r="N423" s="3109"/>
      <c r="O423" s="3109"/>
      <c r="P423" s="3110"/>
      <c r="Q423" s="461" t="s">
        <v>1265</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4256</v>
      </c>
      <c r="B425" s="994" t="s">
        <v>3378</v>
      </c>
      <c r="C425" s="144"/>
      <c r="D425" s="924"/>
      <c r="H425" s="405"/>
      <c r="M425" s="428">
        <v>1</v>
      </c>
      <c r="N425" s="166" t="s">
        <v>2000</v>
      </c>
      <c r="O425" s="2963"/>
      <c r="P425" s="912"/>
      <c r="Q425" s="1090" t="str">
        <f>IF(OR($O425=$M425,$O425=0,$O425=""),"","*CHECK!*")</f>
        <v/>
      </c>
      <c r="R425" s="1192" t="s">
        <v>2723</v>
      </c>
    </row>
    <row r="426" spans="1:19" s="427" customFormat="1" ht="11.25" customHeight="1">
      <c r="A426" s="553"/>
      <c r="B426" s="1963" t="s">
        <v>4251</v>
      </c>
      <c r="C426" s="1963"/>
      <c r="D426" s="1963"/>
      <c r="E426" s="1963"/>
      <c r="F426" s="1963"/>
      <c r="G426" s="1963"/>
      <c r="H426" s="1963"/>
      <c r="I426" s="1963"/>
      <c r="J426" s="1963"/>
      <c r="K426" s="1963"/>
      <c r="L426" s="1963"/>
      <c r="M426" s="498" t="s">
        <v>2847</v>
      </c>
      <c r="N426" s="428"/>
      <c r="O426" s="2160">
        <f>'Part VI-Revenues &amp; Expenses'!$O$62</f>
        <v>48</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58">
        <f>IF(O426=0,0,L414/O426)</f>
        <v>0</v>
      </c>
      <c r="P427" s="2159"/>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2" t="s">
        <v>4684</v>
      </c>
      <c r="B429" s="2933"/>
      <c r="C429" s="2933"/>
      <c r="D429" s="2933"/>
      <c r="E429" s="2933"/>
      <c r="F429" s="2933"/>
      <c r="G429" s="2933"/>
      <c r="H429" s="2933"/>
      <c r="I429" s="2933"/>
      <c r="J429" s="2933"/>
      <c r="K429" s="2933"/>
      <c r="L429" s="2933"/>
      <c r="M429" s="2933"/>
      <c r="N429" s="2933"/>
      <c r="O429" s="2933"/>
      <c r="P429" s="2934"/>
      <c r="Q429" s="1174" t="s">
        <v>1265</v>
      </c>
      <c r="R429" s="462"/>
    </row>
    <row r="430" spans="1:19" s="44" customFormat="1" ht="10.5" customHeight="1" thickTop="1">
      <c r="B430" s="88" t="s">
        <v>1879</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1685</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3111"/>
      <c r="P436" s="1251"/>
      <c r="Q436" s="112"/>
    </row>
    <row r="437" spans="1:18" s="105" customFormat="1" ht="10.5" customHeight="1">
      <c r="A437" s="159"/>
      <c r="B437" s="89" t="s">
        <v>3686</v>
      </c>
      <c r="D437" s="46"/>
      <c r="E437" s="46"/>
      <c r="F437" s="40"/>
      <c r="G437" s="37"/>
      <c r="I437" s="37"/>
      <c r="J437" s="37"/>
      <c r="K437" s="37"/>
      <c r="L437" s="391"/>
      <c r="M437" s="1585"/>
      <c r="N437" s="6"/>
      <c r="O437" s="3112"/>
      <c r="P437" s="557"/>
      <c r="Q437" s="112"/>
    </row>
    <row r="438" spans="1:18" s="105" customFormat="1" ht="10.5" customHeight="1">
      <c r="A438" s="69"/>
      <c r="B438" s="69" t="s">
        <v>1879</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36</v>
      </c>
      <c r="P441" s="1245">
        <f>P8+P43+P57+P67+P94+P111+P153+P189+P228+P270+P286+P294+P316+P324+P337+P346+P362+P396+P414+P433</f>
        <v>20</v>
      </c>
    </row>
    <row r="442" spans="1:18" s="43" customFormat="1" ht="11.25" customHeight="1" thickTop="1">
      <c r="A442" s="55"/>
      <c r="B442" s="70"/>
      <c r="C442" s="55"/>
      <c r="D442" s="36"/>
      <c r="E442" s="36"/>
      <c r="F442" s="72"/>
      <c r="G442" s="72"/>
      <c r="H442" s="172" t="s">
        <v>4245</v>
      </c>
      <c r="J442" s="71"/>
      <c r="K442" s="71"/>
      <c r="L442" s="44"/>
      <c r="M442" s="36"/>
      <c r="N442" s="1585"/>
      <c r="O442" s="1585"/>
      <c r="P442" s="482">
        <f>P228</f>
        <v>0</v>
      </c>
    </row>
    <row r="443" spans="1:18" s="43" customFormat="1" ht="11.25" customHeight="1">
      <c r="A443" s="55"/>
      <c r="B443" s="70"/>
      <c r="C443" s="55"/>
      <c r="D443" s="36"/>
      <c r="E443" s="36"/>
      <c r="F443" s="72"/>
      <c r="G443" s="72"/>
      <c r="H443" s="172" t="s">
        <v>4246</v>
      </c>
      <c r="J443" s="71"/>
      <c r="K443" s="71"/>
      <c r="L443" s="44"/>
      <c r="M443" s="36"/>
      <c r="N443" s="1585"/>
      <c r="O443" s="482"/>
      <c r="P443" s="482">
        <f>P324</f>
        <v>0</v>
      </c>
    </row>
    <row r="444" spans="1:18" s="44" customFormat="1" ht="11.25" customHeight="1">
      <c r="A444" s="43"/>
      <c r="D444" s="40"/>
      <c r="E444" s="37"/>
      <c r="F444" s="941"/>
      <c r="H444" s="172" t="s">
        <v>4254</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3"/>
      <c r="B447" s="3114"/>
      <c r="C447" s="3114"/>
      <c r="D447" s="3114"/>
      <c r="E447" s="3114"/>
      <c r="F447" s="3114"/>
      <c r="G447" s="3114"/>
      <c r="H447" s="3114"/>
      <c r="I447" s="3114"/>
      <c r="J447" s="3114"/>
      <c r="K447" s="3114"/>
      <c r="L447" s="3114"/>
      <c r="M447" s="3114"/>
      <c r="N447" s="3114"/>
      <c r="O447" s="3114"/>
      <c r="P447" s="3115"/>
      <c r="Q447" s="461" t="s">
        <v>1265</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1661</v>
      </c>
      <c r="D452" s="469"/>
      <c r="E452" s="469"/>
      <c r="F452" s="469"/>
      <c r="G452" s="469"/>
      <c r="H452" s="469"/>
      <c r="I452" s="469"/>
      <c r="J452" s="469" t="s">
        <v>1022</v>
      </c>
      <c r="K452" s="469"/>
      <c r="L452" s="469"/>
      <c r="M452" s="469"/>
      <c r="N452" s="470"/>
      <c r="O452" s="1318"/>
      <c r="P452" s="1318"/>
      <c r="Q452" s="1228"/>
      <c r="T452" s="164"/>
      <c r="U452" s="164"/>
      <c r="V452" s="164"/>
      <c r="W452" s="164"/>
      <c r="X452" s="164"/>
    </row>
    <row r="453" spans="1:24" s="503" customFormat="1">
      <c r="A453" s="164"/>
      <c r="B453" s="164"/>
      <c r="C453" s="469" t="s">
        <v>2104</v>
      </c>
      <c r="D453" s="469"/>
      <c r="E453" s="469"/>
      <c r="F453" s="469"/>
      <c r="G453" s="469"/>
      <c r="H453" s="469"/>
      <c r="I453" s="469"/>
      <c r="J453" s="469" t="s">
        <v>1783</v>
      </c>
      <c r="K453" s="469"/>
      <c r="L453" s="469"/>
      <c r="M453" s="469"/>
      <c r="N453" s="470"/>
      <c r="O453" s="1318"/>
      <c r="P453" s="1318"/>
      <c r="Q453" s="1228"/>
      <c r="T453" s="164"/>
      <c r="U453" s="164"/>
      <c r="V453" s="164"/>
      <c r="W453" s="164"/>
      <c r="X453" s="164"/>
    </row>
    <row r="454" spans="1:24" s="503" customFormat="1">
      <c r="A454" s="164"/>
      <c r="B454" s="164"/>
      <c r="C454" s="469" t="s">
        <v>2560</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2105</v>
      </c>
      <c r="D455" s="469"/>
      <c r="E455" s="469"/>
      <c r="F455" s="469"/>
      <c r="G455" s="469"/>
      <c r="H455" s="469"/>
      <c r="I455" s="469"/>
      <c r="J455" s="1319" t="s">
        <v>1663</v>
      </c>
      <c r="K455" s="469"/>
      <c r="L455" s="469"/>
      <c r="M455" s="469"/>
      <c r="N455" s="470"/>
      <c r="O455" s="1318"/>
      <c r="P455" s="1318"/>
      <c r="Q455" s="1228"/>
      <c r="T455" s="164"/>
      <c r="U455" s="164"/>
      <c r="V455" s="164"/>
      <c r="W455" s="164"/>
      <c r="X455" s="164"/>
    </row>
    <row r="456" spans="1:24" s="503" customFormat="1">
      <c r="A456" s="164"/>
      <c r="B456" s="164"/>
      <c r="C456" s="469" t="s">
        <v>2106</v>
      </c>
      <c r="D456" s="469"/>
      <c r="E456" s="469"/>
      <c r="F456" s="469"/>
      <c r="G456" s="469"/>
      <c r="H456" s="469"/>
      <c r="I456" s="469"/>
      <c r="J456" s="1319" t="s">
        <v>1664</v>
      </c>
      <c r="K456" s="469"/>
      <c r="L456" s="469"/>
      <c r="M456" s="469"/>
      <c r="N456" s="470"/>
      <c r="O456" s="1318"/>
      <c r="P456" s="1318"/>
      <c r="Q456" s="1228"/>
      <c r="T456" s="164"/>
      <c r="U456" s="164"/>
      <c r="V456" s="164"/>
      <c r="W456" s="164"/>
      <c r="X456" s="164"/>
    </row>
    <row r="457" spans="1:24" s="503" customFormat="1">
      <c r="A457" s="164"/>
      <c r="B457" s="164"/>
      <c r="C457" s="1320" t="s">
        <v>2107</v>
      </c>
      <c r="D457" s="469"/>
      <c r="E457" s="469"/>
      <c r="F457" s="469"/>
      <c r="G457" s="469"/>
      <c r="H457" s="469"/>
      <c r="I457" s="469"/>
      <c r="J457" s="1319" t="s">
        <v>2520</v>
      </c>
      <c r="K457" s="469"/>
      <c r="L457" s="469"/>
      <c r="M457" s="469"/>
      <c r="N457" s="470"/>
      <c r="O457" s="1318"/>
      <c r="P457" s="1318"/>
      <c r="Q457" s="1228"/>
      <c r="T457" s="164"/>
      <c r="U457" s="164"/>
      <c r="V457" s="164"/>
      <c r="W457" s="164"/>
      <c r="X457" s="164"/>
    </row>
    <row r="458" spans="1:24" s="503" customFormat="1">
      <c r="A458" s="164"/>
      <c r="B458" s="164"/>
      <c r="C458" s="1320" t="s">
        <v>2108</v>
      </c>
      <c r="D458" s="469"/>
      <c r="E458" s="469"/>
      <c r="F458" s="469"/>
      <c r="G458" s="469"/>
      <c r="H458" s="469"/>
      <c r="I458" s="469"/>
      <c r="J458" s="1319" t="s">
        <v>1665</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1666</v>
      </c>
      <c r="K459" s="469"/>
      <c r="L459" s="469"/>
      <c r="M459" s="469"/>
      <c r="N459" s="470"/>
      <c r="O459" s="1318"/>
      <c r="P459" s="1318"/>
      <c r="Q459" s="1228"/>
      <c r="T459" s="164"/>
      <c r="U459" s="164"/>
      <c r="V459" s="164"/>
      <c r="W459" s="164"/>
      <c r="X459" s="164"/>
    </row>
    <row r="460" spans="1:24" s="503" customFormat="1">
      <c r="A460" s="164"/>
      <c r="B460" s="164"/>
      <c r="C460" s="469" t="s">
        <v>1783</v>
      </c>
      <c r="D460" s="469"/>
      <c r="E460" s="469"/>
      <c r="F460" s="469"/>
      <c r="G460" s="469"/>
      <c r="H460" s="469"/>
      <c r="I460" s="469"/>
      <c r="J460" s="1319" t="s">
        <v>1667</v>
      </c>
      <c r="K460" s="469"/>
      <c r="L460" s="469"/>
      <c r="M460" s="469"/>
      <c r="N460" s="470"/>
      <c r="O460" s="1318"/>
      <c r="P460" s="1318"/>
      <c r="Q460" s="1228"/>
      <c r="T460" s="164"/>
      <c r="U460" s="164"/>
      <c r="V460" s="164"/>
      <c r="W460" s="164"/>
      <c r="X460" s="164"/>
    </row>
    <row r="461" spans="1:24" s="503" customFormat="1">
      <c r="C461" s="1229" t="s">
        <v>1401</v>
      </c>
      <c r="D461" s="469"/>
      <c r="E461" s="469"/>
      <c r="F461" s="469"/>
      <c r="G461" s="469"/>
      <c r="H461" s="469"/>
      <c r="I461" s="469"/>
      <c r="J461" s="1319" t="s">
        <v>1668</v>
      </c>
      <c r="K461" s="469"/>
      <c r="L461" s="469"/>
      <c r="M461" s="469"/>
      <c r="N461" s="470"/>
      <c r="O461" s="1318"/>
      <c r="P461" s="1318"/>
      <c r="Q461" s="1228"/>
      <c r="T461" s="164"/>
      <c r="U461" s="164"/>
      <c r="V461" s="164"/>
      <c r="W461" s="164"/>
      <c r="X461" s="164"/>
    </row>
    <row r="462" spans="1:24" s="503" customFormat="1">
      <c r="C462" s="1229" t="s">
        <v>1402</v>
      </c>
      <c r="D462" s="469"/>
      <c r="E462" s="469"/>
      <c r="F462" s="469"/>
      <c r="G462" s="469"/>
      <c r="H462" s="469"/>
      <c r="I462" s="469"/>
      <c r="J462" s="1319" t="s">
        <v>1669</v>
      </c>
      <c r="K462" s="469"/>
      <c r="L462" s="469"/>
      <c r="M462" s="469"/>
      <c r="N462" s="470"/>
      <c r="O462" s="1318"/>
      <c r="P462" s="1318"/>
      <c r="Q462" s="1228"/>
      <c r="T462" s="164"/>
      <c r="U462" s="164"/>
      <c r="V462" s="164"/>
      <c r="W462" s="164"/>
      <c r="X462" s="164"/>
    </row>
    <row r="463" spans="1:24" s="503" customFormat="1">
      <c r="C463" s="1321" t="s">
        <v>2148</v>
      </c>
      <c r="D463" s="469"/>
      <c r="E463" s="469"/>
      <c r="F463" s="469"/>
      <c r="G463" s="469"/>
      <c r="H463" s="469"/>
      <c r="I463" s="469"/>
      <c r="J463" s="1319" t="s">
        <v>1670</v>
      </c>
      <c r="K463" s="469"/>
      <c r="L463" s="469"/>
      <c r="M463" s="469"/>
      <c r="N463" s="470"/>
      <c r="O463" s="1318"/>
      <c r="P463" s="1318"/>
      <c r="Q463" s="1228"/>
      <c r="T463" s="164"/>
      <c r="U463" s="164"/>
      <c r="V463" s="164"/>
      <c r="W463" s="164"/>
      <c r="X463" s="164"/>
    </row>
    <row r="464" spans="1:24" s="503" customFormat="1">
      <c r="C464" s="1321" t="s">
        <v>1398</v>
      </c>
      <c r="D464" s="469"/>
      <c r="E464" s="469"/>
      <c r="F464" s="469"/>
      <c r="G464" s="469"/>
      <c r="H464" s="469"/>
      <c r="I464" s="469"/>
      <c r="J464" s="1319" t="s">
        <v>596</v>
      </c>
      <c r="K464" s="469"/>
      <c r="L464" s="469"/>
      <c r="M464" s="469"/>
      <c r="N464" s="470"/>
      <c r="O464" s="1318"/>
      <c r="P464" s="1318"/>
      <c r="Q464" s="1228"/>
      <c r="T464" s="164"/>
      <c r="U464" s="164"/>
      <c r="V464" s="164"/>
      <c r="W464" s="164"/>
      <c r="X464" s="164"/>
    </row>
    <row r="465" spans="3:24" s="503" customFormat="1">
      <c r="C465" s="1321" t="s">
        <v>1399</v>
      </c>
      <c r="D465" s="469"/>
      <c r="E465" s="469"/>
      <c r="F465" s="469"/>
      <c r="G465" s="469"/>
      <c r="H465" s="469"/>
      <c r="I465" s="469"/>
      <c r="J465" s="1319" t="s">
        <v>1671</v>
      </c>
      <c r="K465" s="469"/>
      <c r="L465" s="469"/>
      <c r="M465" s="469"/>
      <c r="N465" s="470"/>
      <c r="O465" s="1318"/>
      <c r="P465" s="1318"/>
      <c r="Q465" s="1228"/>
      <c r="T465" s="164"/>
      <c r="U465" s="164"/>
      <c r="V465" s="164"/>
      <c r="W465" s="164"/>
      <c r="X465" s="164"/>
    </row>
    <row r="466" spans="3:24" s="503" customFormat="1">
      <c r="C466" s="1229" t="s">
        <v>2143</v>
      </c>
      <c r="D466" s="469"/>
      <c r="E466" s="469"/>
      <c r="F466" s="469"/>
      <c r="G466" s="469"/>
      <c r="H466" s="469"/>
      <c r="I466" s="469"/>
      <c r="J466" s="1319" t="s">
        <v>1672</v>
      </c>
      <c r="K466" s="469"/>
      <c r="L466" s="469"/>
      <c r="M466" s="469"/>
      <c r="N466" s="470"/>
      <c r="O466" s="1318"/>
      <c r="P466" s="1318"/>
      <c r="Q466" s="1228"/>
      <c r="T466" s="164"/>
      <c r="U466" s="164"/>
      <c r="V466" s="164"/>
      <c r="W466" s="164"/>
      <c r="X466" s="164"/>
    </row>
    <row r="467" spans="3:24" s="503" customFormat="1">
      <c r="C467" s="1229" t="s">
        <v>2144</v>
      </c>
      <c r="D467" s="469"/>
      <c r="E467" s="469"/>
      <c r="F467" s="469"/>
      <c r="G467" s="469"/>
      <c r="H467" s="469"/>
      <c r="I467" s="469"/>
      <c r="J467" s="1319" t="s">
        <v>1673</v>
      </c>
      <c r="K467" s="469"/>
      <c r="L467" s="469"/>
      <c r="M467" s="469"/>
      <c r="N467" s="470"/>
      <c r="O467" s="1318"/>
      <c r="P467" s="1318"/>
      <c r="Q467" s="1228"/>
      <c r="T467" s="164"/>
      <c r="U467" s="164"/>
      <c r="V467" s="164"/>
      <c r="W467" s="164"/>
      <c r="X467" s="164"/>
    </row>
    <row r="468" spans="3:24" s="503" customFormat="1">
      <c r="C468" s="1229" t="s">
        <v>2145</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2146</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2147</v>
      </c>
      <c r="D470" s="469"/>
      <c r="E470" s="469"/>
      <c r="F470" s="469"/>
      <c r="G470" s="469"/>
      <c r="H470" s="469"/>
      <c r="I470" s="469"/>
      <c r="J470" s="1322" t="s">
        <v>3436</v>
      </c>
      <c r="K470" s="469"/>
      <c r="L470" s="469"/>
      <c r="M470" s="469"/>
      <c r="N470" s="470"/>
      <c r="O470" s="1322" t="s">
        <v>3798</v>
      </c>
      <c r="P470" s="1318"/>
      <c r="Q470" s="1228"/>
      <c r="T470" s="164"/>
      <c r="U470" s="164"/>
      <c r="V470" s="164"/>
      <c r="W470" s="164"/>
      <c r="X470" s="164"/>
    </row>
    <row r="471" spans="3:24" s="503" customFormat="1">
      <c r="C471" s="1229" t="s">
        <v>1400</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2297</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1514</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2538</v>
      </c>
      <c r="H476" s="1324"/>
      <c r="I476" s="1326"/>
      <c r="J476" s="469" t="s">
        <v>3796</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1794</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1648</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1045</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2086</v>
      </c>
      <c r="H480" s="1324"/>
      <c r="I480" s="1327"/>
      <c r="J480" s="1324" t="s">
        <v>3797</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3838</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1343</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1515</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1031</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1770</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2504</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903</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2073</v>
      </c>
      <c r="H491" s="1324"/>
      <c r="I491" s="1327"/>
      <c r="J491" s="1328" t="s">
        <v>3807</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606</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881</v>
      </c>
      <c r="H494" s="1324"/>
      <c r="I494" s="1327"/>
      <c r="J494" s="1324" t="s">
        <v>3800</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1938</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1942</v>
      </c>
      <c r="H496" s="1327"/>
      <c r="I496" s="1324"/>
      <c r="J496" s="1324" t="s">
        <v>3801</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3802</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1232</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1234</v>
      </c>
      <c r="H502" s="1327"/>
      <c r="I502" s="1324"/>
      <c r="J502" s="1324" t="s">
        <v>3803</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1649</v>
      </c>
      <c r="H503" s="1327"/>
      <c r="I503" s="1324"/>
      <c r="J503" s="1324" t="s">
        <v>3804</v>
      </c>
      <c r="K503" s="469"/>
      <c r="L503" s="1327"/>
      <c r="M503" s="469"/>
      <c r="N503" s="470"/>
      <c r="O503" s="1318"/>
      <c r="P503" s="1318"/>
      <c r="Q503" s="536"/>
    </row>
    <row r="504" spans="1:24" s="164" customFormat="1">
      <c r="A504" s="503"/>
      <c r="B504" s="503"/>
      <c r="C504" s="469"/>
      <c r="D504" s="1330"/>
      <c r="E504" s="469"/>
      <c r="F504" s="469"/>
      <c r="G504" s="1326" t="s">
        <v>993</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578</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1650</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1691</v>
      </c>
      <c r="H507" s="1327"/>
      <c r="I507" s="1324"/>
      <c r="J507" s="1324" t="s">
        <v>3805</v>
      </c>
      <c r="K507" s="469"/>
      <c r="L507" s="1327"/>
      <c r="M507" s="469"/>
      <c r="N507" s="470"/>
      <c r="O507" s="1318"/>
      <c r="P507" s="1318"/>
      <c r="Q507" s="536"/>
    </row>
    <row r="508" spans="1:24" s="164" customFormat="1">
      <c r="A508" s="503"/>
      <c r="B508" s="503"/>
      <c r="C508" s="1329"/>
      <c r="D508" s="469"/>
      <c r="E508" s="469"/>
      <c r="F508" s="469"/>
      <c r="G508" s="1326" t="s">
        <v>1752</v>
      </c>
      <c r="H508" s="1324"/>
      <c r="I508" s="1324"/>
      <c r="J508" s="1324" t="s">
        <v>3806</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828</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525</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533</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546</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1647</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2110</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2263</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1449</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2137</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1452</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1567</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1052</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2283</v>
      </c>
      <c r="H527" s="1324"/>
      <c r="I527" s="1324"/>
      <c r="J527" s="1324"/>
      <c r="K527" s="1324"/>
      <c r="L527" s="469"/>
      <c r="M527" s="469"/>
      <c r="N527" s="470"/>
      <c r="O527" s="1318"/>
      <c r="P527" s="1318"/>
      <c r="Q527" s="536"/>
    </row>
    <row r="528" spans="1:17" s="164" customFormat="1">
      <c r="A528" s="503"/>
      <c r="B528" s="503"/>
      <c r="C528" s="469"/>
      <c r="D528" s="469"/>
      <c r="E528" s="469"/>
      <c r="F528" s="469"/>
      <c r="G528" s="1319" t="s">
        <v>2179</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1651</v>
      </c>
      <c r="H529" s="469"/>
      <c r="I529" s="469"/>
      <c r="J529" s="1324"/>
      <c r="K529" s="469"/>
      <c r="L529" s="469"/>
      <c r="M529" s="469"/>
      <c r="N529" s="470"/>
      <c r="O529" s="1318"/>
      <c r="P529" s="1318"/>
      <c r="Q529" s="536"/>
    </row>
    <row r="530" spans="1:24" s="164" customFormat="1">
      <c r="A530" s="503"/>
      <c r="B530" s="503"/>
      <c r="C530" s="469"/>
      <c r="D530" s="469"/>
      <c r="E530" s="469"/>
      <c r="F530" s="469"/>
      <c r="G530" s="1319" t="s">
        <v>2275</v>
      </c>
      <c r="H530" s="469"/>
      <c r="I530" s="469"/>
      <c r="J530" s="1324"/>
      <c r="K530" s="469"/>
      <c r="L530" s="469"/>
      <c r="M530" s="469"/>
      <c r="N530" s="470"/>
      <c r="O530" s="1318"/>
      <c r="P530" s="1318"/>
      <c r="Q530" s="536"/>
    </row>
    <row r="531" spans="1:24" s="164" customFormat="1">
      <c r="A531" s="503"/>
      <c r="B531" s="503"/>
      <c r="C531" s="469"/>
      <c r="D531" s="469"/>
      <c r="E531" s="469"/>
      <c r="F531" s="469"/>
      <c r="G531" s="1319" t="s">
        <v>2142</v>
      </c>
      <c r="H531" s="469"/>
      <c r="I531" s="469"/>
      <c r="J531" s="1324"/>
      <c r="K531" s="469"/>
      <c r="L531" s="469"/>
      <c r="M531" s="469"/>
      <c r="N531" s="470"/>
      <c r="O531" s="1318"/>
      <c r="P531" s="1318"/>
      <c r="Q531" s="536"/>
    </row>
    <row r="532" spans="1:24" s="164" customFormat="1">
      <c r="A532" s="503"/>
      <c r="B532" s="503"/>
      <c r="C532" s="469"/>
      <c r="D532" s="469"/>
      <c r="E532" s="469"/>
      <c r="F532" s="469"/>
      <c r="G532" s="1319" t="s">
        <v>1652</v>
      </c>
      <c r="H532" s="469"/>
      <c r="I532" s="469"/>
      <c r="J532" s="1324"/>
      <c r="K532" s="469"/>
      <c r="L532" s="469"/>
      <c r="M532" s="469"/>
      <c r="N532" s="470"/>
      <c r="O532" s="1318"/>
      <c r="P532" s="1318"/>
      <c r="Q532" s="536"/>
    </row>
    <row r="533" spans="1:24" s="164" customFormat="1">
      <c r="A533" s="503"/>
      <c r="B533" s="503"/>
      <c r="C533" s="469"/>
      <c r="D533" s="469"/>
      <c r="E533" s="469"/>
      <c r="F533" s="469"/>
      <c r="G533" s="1319" t="s">
        <v>2349</v>
      </c>
      <c r="H533" s="469"/>
      <c r="I533" s="469"/>
      <c r="J533" s="469"/>
      <c r="K533" s="469"/>
      <c r="L533" s="469"/>
      <c r="M533" s="469"/>
      <c r="N533" s="470"/>
      <c r="O533" s="1318"/>
      <c r="P533" s="1318"/>
      <c r="Q533" s="536"/>
    </row>
    <row r="534" spans="1:24">
      <c r="A534" s="503"/>
      <c r="B534" s="503"/>
      <c r="C534" s="469"/>
      <c r="D534" s="469"/>
      <c r="E534" s="469"/>
      <c r="F534" s="469"/>
      <c r="G534" s="1319" t="s">
        <v>1698</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4723</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2276</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1705</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1708</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1713</v>
      </c>
      <c r="H539" s="503"/>
      <c r="I539" s="503"/>
      <c r="J539" s="503"/>
      <c r="K539" s="503"/>
      <c r="L539" s="503"/>
      <c r="M539" s="503"/>
      <c r="N539" s="1142"/>
      <c r="O539" s="1143"/>
    </row>
    <row r="540" spans="1:24">
      <c r="G540" s="164" t="s">
        <v>1716</v>
      </c>
      <c r="H540" s="164"/>
      <c r="I540" s="164"/>
      <c r="J540" s="164"/>
    </row>
    <row r="541" spans="1:24">
      <c r="G541" s="164" t="s">
        <v>1721</v>
      </c>
      <c r="H541" s="164"/>
      <c r="I541" s="164"/>
      <c r="J541" s="164"/>
    </row>
    <row r="542" spans="1:24">
      <c r="G542" s="28" t="s">
        <v>1722</v>
      </c>
    </row>
    <row r="543" spans="1:24">
      <c r="G543" s="28" t="s">
        <v>107</v>
      </c>
    </row>
    <row r="544" spans="1:24">
      <c r="G544" s="28" t="s">
        <v>298</v>
      </c>
    </row>
    <row r="545" spans="7:7">
      <c r="G545" s="28" t="s">
        <v>299</v>
      </c>
    </row>
    <row r="546" spans="7:7">
      <c r="G546" s="28" t="s">
        <v>1554</v>
      </c>
    </row>
  </sheetData>
  <sheetProtection algorithmName="SHA-512" hashValue="TgpUvWC7XMAXdgVp0H7rN9ikaXadwRL4YY7XdxiQQoelixltWrj8u32dUALN4wJte/c5L/IZGSTsB7LFEKR/Dg==" saltValue="nyEVkwas7wRUvPwUwFRH+g=="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J276:J278"/>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gridLines="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1:XFD1048576"/>
    </sheetView>
  </sheetViews>
  <sheetFormatPr defaultRowHeight="12.75"/>
  <cols>
    <col min="1" max="1" width="88.42578125" style="28" customWidth="1"/>
    <col min="2" max="16384" width="9.140625" style="28"/>
  </cols>
  <sheetData>
    <row r="1" spans="1:6" ht="15.75">
      <c r="A1" s="918" t="s">
        <v>4259</v>
      </c>
    </row>
    <row r="2" spans="1:6" s="34" customFormat="1" ht="13.5" customHeight="1">
      <c r="A2" s="917" t="str">
        <f>'Part I-Project Information'!$F$34</f>
        <v>Hillcrest Apartments</v>
      </c>
    </row>
    <row r="3" spans="1:6" s="34" customFormat="1" ht="13.5" customHeight="1">
      <c r="A3" s="917" t="str">
        <f>CONCATENATE('Part I-Project Information'!$F$38,", ", 'Part I-Project Information'!$J$39," County")</f>
        <v>Dublin, Laurens County</v>
      </c>
    </row>
    <row r="4" spans="1:6" ht="6.75" customHeight="1"/>
    <row r="5" spans="1:6" ht="113.25" customHeight="1">
      <c r="A5" s="2896" t="s">
        <v>4260</v>
      </c>
      <c r="B5" s="2208" t="s">
        <v>4261</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fyiwN4wBCQZtPUfvUIgPiosqCQ8+AWmi+yHbbYVV0GYbzrgN7KEK3sltWK7c2RvhQcljgnjYv8kViXLhr0zT8w==" saltValue="1FLSfwoMXzNEvb2rCsHr6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4262</v>
      </c>
    </row>
    <row r="3" spans="1:7" ht="3" customHeight="1"/>
    <row r="4" spans="1:7">
      <c r="A4" s="1373" t="s">
        <v>4263</v>
      </c>
      <c r="B4" s="1374">
        <f>+'Part IV-A-Uses of Funds'!$G$132</f>
        <v>3838818</v>
      </c>
    </row>
    <row r="5" spans="1:7">
      <c r="A5" s="1373" t="s">
        <v>4294</v>
      </c>
      <c r="B5" s="1374">
        <f>+B18+B26+B38</f>
        <v>0</v>
      </c>
    </row>
    <row r="6" spans="1:7">
      <c r="A6" s="1373" t="s">
        <v>4264</v>
      </c>
      <c r="B6" s="1375">
        <f>+B5-B4</f>
        <v>-3838818</v>
      </c>
    </row>
    <row r="7" spans="1:7">
      <c r="A7" s="1373" t="s">
        <v>4265</v>
      </c>
      <c r="B7" s="1376">
        <f>+B6/B4</f>
        <v>-1</v>
      </c>
    </row>
    <row r="8" spans="1:7" ht="9" customHeight="1"/>
    <row r="9" spans="1:7">
      <c r="A9" s="1373" t="s">
        <v>4266</v>
      </c>
      <c r="B9" s="1374">
        <f>+B18+B26+B33</f>
        <v>0</v>
      </c>
    </row>
    <row r="10" spans="1:7">
      <c r="A10" s="1373" t="s">
        <v>4264</v>
      </c>
      <c r="B10" s="1375">
        <f>+B9-B4</f>
        <v>-3838818</v>
      </c>
    </row>
    <row r="11" spans="1:7">
      <c r="A11" s="1373" t="s">
        <v>4265</v>
      </c>
      <c r="B11" s="1376">
        <f>+B10/B4</f>
        <v>-1</v>
      </c>
    </row>
    <row r="12" spans="1:7" ht="24" customHeight="1"/>
    <row r="13" spans="1:7">
      <c r="A13" s="1372" t="s">
        <v>4267</v>
      </c>
      <c r="D13" s="1445" t="s">
        <v>4534</v>
      </c>
      <c r="E13" s="1446"/>
    </row>
    <row r="14" spans="1:7">
      <c r="A14" s="1373" t="s">
        <v>4268</v>
      </c>
      <c r="B14" s="1377">
        <f>+SUM('Part III-Sources of Funds'!L49:M50)</f>
        <v>3835000</v>
      </c>
      <c r="D14" s="1446"/>
      <c r="E14" s="1446"/>
    </row>
    <row r="15" spans="1:7">
      <c r="A15" s="1373" t="s">
        <v>4269</v>
      </c>
      <c r="B15" s="1378">
        <f>+'Part IV-A-Uses of Funds'!J167</f>
        <v>383881.8</v>
      </c>
      <c r="D15" s="1446" t="s">
        <v>2060</v>
      </c>
      <c r="G15" s="1447">
        <f>'Part IV-A-Uses of Funds'!J155</f>
        <v>0</v>
      </c>
    </row>
    <row r="16" spans="1:7" ht="12.75" customHeight="1">
      <c r="D16" s="1446" t="s">
        <v>4535</v>
      </c>
      <c r="G16" s="1451">
        <v>3.2800000000000003E-2</v>
      </c>
    </row>
    <row r="17" spans="1:7" ht="12.75" customHeight="1">
      <c r="A17" s="1373" t="s">
        <v>4270</v>
      </c>
      <c r="B17" s="1450">
        <v>1.45</v>
      </c>
      <c r="D17" s="1446" t="s">
        <v>4536</v>
      </c>
      <c r="G17" s="1452">
        <v>1.45</v>
      </c>
    </row>
    <row r="18" spans="1:7" ht="12.75" customHeight="1">
      <c r="A18" s="1373" t="s">
        <v>4271</v>
      </c>
      <c r="B18" s="1379">
        <f>+'Part IV-A-Uses of Funds'!J174*B17*10</f>
        <v>0</v>
      </c>
      <c r="D18" s="1446" t="s">
        <v>4537</v>
      </c>
      <c r="G18" s="1452">
        <v>3.28</v>
      </c>
    </row>
    <row r="19" spans="1:7" ht="12.75" customHeight="1">
      <c r="D19" s="1446" t="s">
        <v>4538</v>
      </c>
      <c r="G19" s="1448">
        <f>+G15*G16*G17*10</f>
        <v>0</v>
      </c>
    </row>
    <row r="20" spans="1:7">
      <c r="A20" s="1373" t="s">
        <v>4272</v>
      </c>
      <c r="B20" s="1377">
        <f>+B18-B14</f>
        <v>-3835000</v>
      </c>
      <c r="D20" s="1446" t="s">
        <v>4539</v>
      </c>
      <c r="G20" s="1449">
        <f>+B14-G19</f>
        <v>3835000</v>
      </c>
    </row>
    <row r="21" spans="1:7">
      <c r="A21" s="1373" t="s">
        <v>4273</v>
      </c>
      <c r="B21" s="1376">
        <f>+B20/B14</f>
        <v>-1</v>
      </c>
      <c r="D21" s="1446" t="s">
        <v>4540</v>
      </c>
      <c r="G21" s="1446" t="str">
        <f>+IF(G20&gt;(B28+B35),"No","Yes")</f>
        <v>No</v>
      </c>
    </row>
    <row r="22" spans="1:7" ht="24" customHeight="1"/>
    <row r="23" spans="1:7">
      <c r="A23" s="1372" t="s">
        <v>4274</v>
      </c>
    </row>
    <row r="24" spans="1:7">
      <c r="A24" s="1373" t="s">
        <v>4275</v>
      </c>
      <c r="B24" s="1380">
        <f>+SUM('Part III-Sources of Funds'!I37:J40)</f>
        <v>0</v>
      </c>
    </row>
    <row r="25" spans="1:7">
      <c r="A25" s="1373" t="s">
        <v>4276</v>
      </c>
      <c r="B25" s="1381">
        <f>IF('Part III-Sources of Funds'!B11="Yes","N/A",MAX(B46:P46))</f>
        <v>-41572.271191038926</v>
      </c>
    </row>
    <row r="26" spans="1:7">
      <c r="A26" s="1373" t="s">
        <v>4277</v>
      </c>
      <c r="B26" s="1371">
        <f>IFERROR(PV('Part III-Sources of Funds'!K37,'Part III-Sources of Funds'!L37,B25+B45),B24)</f>
        <v>0</v>
      </c>
    </row>
    <row r="27" spans="1:7" ht="9" customHeight="1">
      <c r="B27" s="1371"/>
    </row>
    <row r="28" spans="1:7">
      <c r="A28" s="1373" t="s">
        <v>4278</v>
      </c>
      <c r="B28" s="1382">
        <f>+B26-B24</f>
        <v>0</v>
      </c>
      <c r="C28" s="1383"/>
    </row>
    <row r="29" spans="1:7">
      <c r="A29" s="1373" t="s">
        <v>4273</v>
      </c>
      <c r="B29" s="1384" t="e">
        <f>+B28/B24</f>
        <v>#DIV/0!</v>
      </c>
    </row>
    <row r="30" spans="1:7" ht="24" customHeight="1"/>
    <row r="31" spans="1:7">
      <c r="A31" s="1372" t="s">
        <v>4133</v>
      </c>
    </row>
    <row r="32" spans="1:7">
      <c r="A32" s="1373" t="s">
        <v>4279</v>
      </c>
      <c r="B32" s="1385">
        <f>+'Part III-Sources of Funds'!I42</f>
        <v>4069</v>
      </c>
    </row>
    <row r="33" spans="1:11">
      <c r="A33" s="1373" t="s">
        <v>4280</v>
      </c>
      <c r="B33" s="1371"/>
    </row>
    <row r="34" spans="1:11" ht="9" customHeight="1">
      <c r="B34" s="1371"/>
    </row>
    <row r="35" spans="1:11">
      <c r="A35" s="1373" t="s">
        <v>4281</v>
      </c>
      <c r="B35" s="1385">
        <f>+B33-B32</f>
        <v>-4069</v>
      </c>
    </row>
    <row r="36" spans="1:11">
      <c r="A36" s="1373" t="s">
        <v>4282</v>
      </c>
      <c r="B36" s="1370">
        <f>+B35/B32</f>
        <v>-1</v>
      </c>
    </row>
    <row r="37" spans="1:11" ht="24" customHeight="1">
      <c r="B37" s="1371"/>
    </row>
    <row r="38" spans="1:11">
      <c r="A38" s="1372" t="s">
        <v>4283</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4284</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1214</v>
      </c>
      <c r="B44" s="1374">
        <f>+'Part VII-Pro Forma'!B22</f>
        <v>57402.262400000007</v>
      </c>
      <c r="C44" s="1374">
        <f>+'Part VII-Pro Forma'!C22</f>
        <v>56843.807648000016</v>
      </c>
      <c r="D44" s="1374">
        <f>+'Part VII-Pro Forma'!D22</f>
        <v>56223.773600960034</v>
      </c>
      <c r="E44" s="1374">
        <f>+'Part VII-Pro Forma'!E22</f>
        <v>55538.030766979173</v>
      </c>
      <c r="F44" s="1374">
        <f>+'Part VII-Pro Forma'!F22</f>
        <v>54784.367527138835</v>
      </c>
      <c r="G44" s="1374">
        <f>+'Part VII-Pro Forma'!G22</f>
        <v>53959.487306846189</v>
      </c>
      <c r="H44" s="1374">
        <f>+'Part VII-Pro Forma'!H22</f>
        <v>53060.005655022644</v>
      </c>
      <c r="I44" s="1374">
        <f>+'Part VII-Pro Forma'!I22</f>
        <v>52084.44722822374</v>
      </c>
      <c r="J44" s="1374">
        <f>+'Part VII-Pro Forma'!J22</f>
        <v>51027.24267669204</v>
      </c>
      <c r="K44" s="1374">
        <f>+'Part VII-Pro Forma'!K22</f>
        <v>49886.725429246711</v>
      </c>
    </row>
    <row r="45" spans="1:11">
      <c r="A45" s="1373" t="s">
        <v>4285</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4286</v>
      </c>
      <c r="B46" s="1375">
        <f t="shared" ref="B46:K46" si="0">-B44/B48-B45</f>
        <v>-47835.218666666675</v>
      </c>
      <c r="C46" s="1375">
        <f t="shared" si="0"/>
        <v>-47369.83970666668</v>
      </c>
      <c r="D46" s="1375">
        <f t="shared" si="0"/>
        <v>-46853.144667466695</v>
      </c>
      <c r="E46" s="1375">
        <f t="shared" si="0"/>
        <v>-46281.692305815981</v>
      </c>
      <c r="F46" s="1375">
        <f t="shared" si="0"/>
        <v>-45653.639605949029</v>
      </c>
      <c r="G46" s="1375">
        <f t="shared" si="0"/>
        <v>-44966.239422371829</v>
      </c>
      <c r="H46" s="1375">
        <f t="shared" si="0"/>
        <v>-44216.671379185536</v>
      </c>
      <c r="I46" s="1375">
        <f t="shared" si="0"/>
        <v>-43403.706023519786</v>
      </c>
      <c r="J46" s="1375">
        <f t="shared" si="0"/>
        <v>-42522.702230576702</v>
      </c>
      <c r="K46" s="1375">
        <f t="shared" si="0"/>
        <v>-41572.271191038926</v>
      </c>
    </row>
    <row r="48" spans="1:11">
      <c r="A48" s="1373" t="s">
        <v>4287</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1174</v>
      </c>
    </row>
    <row r="51" spans="1:17">
      <c r="A51" s="1373" t="s">
        <v>1214</v>
      </c>
      <c r="B51" s="1375">
        <f>+B44</f>
        <v>57402.262400000007</v>
      </c>
      <c r="C51" s="1375">
        <f t="shared" ref="C51:K51" si="2">+C44</f>
        <v>56843.807648000016</v>
      </c>
      <c r="D51" s="1375">
        <f t="shared" si="2"/>
        <v>56223.773600960034</v>
      </c>
      <c r="E51" s="1375">
        <f t="shared" si="2"/>
        <v>55538.030766979173</v>
      </c>
      <c r="F51" s="1375">
        <f t="shared" si="2"/>
        <v>54784.367527138835</v>
      </c>
      <c r="G51" s="1375">
        <f t="shared" si="2"/>
        <v>53959.487306846189</v>
      </c>
      <c r="H51" s="1375">
        <f t="shared" si="2"/>
        <v>53060.005655022644</v>
      </c>
      <c r="I51" s="1375">
        <f t="shared" si="2"/>
        <v>52084.44722822374</v>
      </c>
      <c r="J51" s="1375">
        <f t="shared" si="2"/>
        <v>51027.24267669204</v>
      </c>
      <c r="K51" s="1375">
        <f t="shared" si="2"/>
        <v>49886.725429246711</v>
      </c>
    </row>
    <row r="52" spans="1:17">
      <c r="A52" s="1373" t="s">
        <v>4288</v>
      </c>
      <c r="B52" s="1375">
        <f>IF($B$25="N/A",B45,B45+$B$25)</f>
        <v>-41572.271191038926</v>
      </c>
      <c r="C52" s="1375">
        <f t="shared" ref="C52:K52" si="3">IF($B$25="N/A",C45,C45+$B$25)</f>
        <v>-41572.271191038926</v>
      </c>
      <c r="D52" s="1375">
        <f t="shared" si="3"/>
        <v>-41572.271191038926</v>
      </c>
      <c r="E52" s="1375">
        <f t="shared" si="3"/>
        <v>-41572.271191038926</v>
      </c>
      <c r="F52" s="1375">
        <f t="shared" si="3"/>
        <v>-41572.271191038926</v>
      </c>
      <c r="G52" s="1375">
        <f t="shared" si="3"/>
        <v>-41572.271191038926</v>
      </c>
      <c r="H52" s="1375">
        <f t="shared" si="3"/>
        <v>-41572.271191038926</v>
      </c>
      <c r="I52" s="1375">
        <f t="shared" si="3"/>
        <v>-41572.271191038926</v>
      </c>
      <c r="J52" s="1375">
        <f t="shared" si="3"/>
        <v>-41572.271191038926</v>
      </c>
      <c r="K52" s="1375">
        <f t="shared" si="3"/>
        <v>-41572.271191038926</v>
      </c>
    </row>
    <row r="53" spans="1:17">
      <c r="A53" s="1373" t="s">
        <v>4289</v>
      </c>
      <c r="B53" s="1374">
        <f>+'Part VII-Pro Forma'!B28</f>
        <v>-2000</v>
      </c>
      <c r="C53" s="1374">
        <f>+'Part VII-Pro Forma'!C28</f>
        <v>-2000</v>
      </c>
      <c r="D53" s="1374">
        <f>+'Part VII-Pro Forma'!D28</f>
        <v>-2000</v>
      </c>
      <c r="E53" s="1374">
        <f>+'Part VII-Pro Forma'!E28</f>
        <v>-2000</v>
      </c>
      <c r="F53" s="1374">
        <f>+'Part VII-Pro Forma'!F28</f>
        <v>-2000</v>
      </c>
      <c r="G53" s="1374">
        <f>+'Part VII-Pro Forma'!G28</f>
        <v>-2000</v>
      </c>
      <c r="H53" s="1374">
        <f>+'Part VII-Pro Forma'!H28</f>
        <v>-2000</v>
      </c>
      <c r="I53" s="1374">
        <f>+'Part VII-Pro Forma'!I28</f>
        <v>-2000</v>
      </c>
      <c r="J53" s="1374">
        <f>+'Part VII-Pro Forma'!J28</f>
        <v>-2000</v>
      </c>
      <c r="K53" s="1374">
        <f>+'Part VII-Pro Forma'!K28</f>
        <v>-2000</v>
      </c>
    </row>
    <row r="54" spans="1:17">
      <c r="A54" s="1373" t="s">
        <v>4290</v>
      </c>
      <c r="B54" s="1375">
        <f>+SUM(B51:B53)</f>
        <v>13829.991208961081</v>
      </c>
      <c r="C54" s="1375">
        <f t="shared" ref="C54:K54" si="4">+SUM(C51:C53)</f>
        <v>13271.53645696109</v>
      </c>
      <c r="D54" s="1375">
        <f t="shared" si="4"/>
        <v>12651.502409921108</v>
      </c>
      <c r="E54" s="1375">
        <f t="shared" si="4"/>
        <v>11965.759575940247</v>
      </c>
      <c r="F54" s="1375">
        <f t="shared" si="4"/>
        <v>11212.096336099909</v>
      </c>
      <c r="G54" s="1375">
        <f t="shared" si="4"/>
        <v>10387.216115807263</v>
      </c>
      <c r="H54" s="1375">
        <f t="shared" si="4"/>
        <v>9487.7344639837174</v>
      </c>
      <c r="I54" s="1375">
        <f t="shared" si="4"/>
        <v>8512.176037184814</v>
      </c>
      <c r="J54" s="1375">
        <f t="shared" si="4"/>
        <v>7454.9714856531136</v>
      </c>
      <c r="K54" s="1375">
        <f t="shared" si="4"/>
        <v>6314.4542382077852</v>
      </c>
    </row>
    <row r="55" spans="1:17">
      <c r="A55" s="1373" t="s">
        <v>4133</v>
      </c>
      <c r="B55" s="1375">
        <f>-B54</f>
        <v>-13829.991208961081</v>
      </c>
      <c r="C55" s="1375">
        <f t="shared" ref="C55:K55" si="5">-C54</f>
        <v>-13271.53645696109</v>
      </c>
      <c r="D55" s="1375">
        <f t="shared" si="5"/>
        <v>-12651.502409921108</v>
      </c>
      <c r="E55" s="1375">
        <f t="shared" si="5"/>
        <v>-11965.759575940247</v>
      </c>
      <c r="F55" s="1375">
        <f t="shared" si="5"/>
        <v>-11212.096336099909</v>
      </c>
      <c r="G55" s="1375">
        <f t="shared" si="5"/>
        <v>-10387.216115807263</v>
      </c>
      <c r="H55" s="1375">
        <f t="shared" si="5"/>
        <v>-9487.7344639837174</v>
      </c>
      <c r="I55" s="1375">
        <f t="shared" si="5"/>
        <v>-8512.176037184814</v>
      </c>
      <c r="J55" s="1375">
        <f t="shared" si="5"/>
        <v>-7454.9714856531136</v>
      </c>
      <c r="K55" s="1375">
        <f t="shared" si="5"/>
        <v>-6314.4542382077852</v>
      </c>
    </row>
    <row r="56" spans="1:17">
      <c r="A56" s="1373" t="s">
        <v>4291</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4292</v>
      </c>
      <c r="B58" s="1374">
        <f>IF($B$26="","",-FV('Part III-Sources of Funds'!$K$37/12,12,B52/12,B26))</f>
        <v>-41572.271191038926</v>
      </c>
      <c r="C58" s="1374">
        <f>IF($B$26="","",-FV('Part III-Sources of Funds'!$K$37/12,12,C52/12,B58))</f>
        <v>-83144.542382077852</v>
      </c>
      <c r="D58" s="1374">
        <f>IF($B$26="","",-FV('Part III-Sources of Funds'!$K$37/12,12,D52/12,C58))</f>
        <v>-124716.81357311679</v>
      </c>
      <c r="E58" s="1374">
        <f>IF($B$26="","",-FV('Part III-Sources of Funds'!$K$37/12,12,E52/12,D58))</f>
        <v>-166289.0847641557</v>
      </c>
      <c r="F58" s="1374">
        <f>IF($B$26="","",-FV('Part III-Sources of Funds'!$K$37/12,12,F52/12,E58))</f>
        <v>-207861.35595519462</v>
      </c>
      <c r="G58" s="1374">
        <f>IF($B$26="","",-FV('Part III-Sources of Funds'!$K$37/12,12,G52/12,F58))</f>
        <v>-249433.62714623354</v>
      </c>
      <c r="H58" s="1374">
        <f>IF($B$26="","",-FV('Part III-Sources of Funds'!$K$37/12,12,H52/12,G58))</f>
        <v>-291005.89833727246</v>
      </c>
      <c r="I58" s="1374">
        <f>IF($B$26="","",-FV('Part III-Sources of Funds'!$K$37/12,12,I52/12,H58))</f>
        <v>-332578.16952831141</v>
      </c>
      <c r="J58" s="1374">
        <f>IF($B$26="","",-FV('Part III-Sources of Funds'!$K$37/12,12,J52/12,I58))</f>
        <v>-374150.44071935036</v>
      </c>
      <c r="K58" s="1374">
        <f>IF($B$26="","",-FV('Part III-Sources of Funds'!$K$37/12,12,K52/12,J58))</f>
        <v>-415722.71191038931</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4284</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1214</v>
      </c>
      <c r="B64" s="1374">
        <f>+'Part VII-Pro Forma'!B52</f>
        <v>48658.128373823158</v>
      </c>
      <c r="C64" s="1374">
        <f>+'Part VII-Pro Forma'!C52</f>
        <v>47338.580430370792</v>
      </c>
      <c r="D64" s="1374">
        <f>+'Part VII-Pro Forma'!D52</f>
        <v>45923.103012721622</v>
      </c>
      <c r="E64" s="1374">
        <f>+'Part VII-Pro Forma'!E52</f>
        <v>44408.606375931704</v>
      </c>
      <c r="F64" s="1374">
        <f>+'Part VII-Pro Forma'!F52</f>
        <v>42790.885845494719</v>
      </c>
      <c r="G64" s="1374">
        <f>+'Part VII-Pro Forma'!G52</f>
        <v>41066.617924710154</v>
      </c>
      <c r="H64" s="1374">
        <f>+'Part VII-Pro Forma'!H52</f>
        <v>39229.356276379302</v>
      </c>
      <c r="I64" s="1374">
        <f>+'Part VII-Pro Forma'!I52</f>
        <v>37275.527574877007</v>
      </c>
      <c r="J64" s="1374">
        <f>+'Part VII-Pro Forma'!J52</f>
        <v>35201.427224533676</v>
      </c>
      <c r="K64" s="1374">
        <f>+'Part VII-Pro Forma'!K52</f>
        <v>33000.214940128339</v>
      </c>
    </row>
    <row r="65" spans="1:11">
      <c r="A65" s="1373" t="s">
        <v>4285</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4286</v>
      </c>
      <c r="B66" s="1375">
        <f t="shared" ref="B66:K66" si="7">-B64/B68-B65</f>
        <v>-40548.440311519298</v>
      </c>
      <c r="C66" s="1375">
        <f t="shared" si="7"/>
        <v>-39448.817025308992</v>
      </c>
      <c r="D66" s="1375">
        <f t="shared" si="7"/>
        <v>-38269.252510601356</v>
      </c>
      <c r="E66" s="1375">
        <f t="shared" si="7"/>
        <v>-37007.171979943087</v>
      </c>
      <c r="F66" s="1375">
        <f t="shared" si="7"/>
        <v>-35659.07153791227</v>
      </c>
      <c r="G66" s="1375">
        <f t="shared" si="7"/>
        <v>-34222.181603925128</v>
      </c>
      <c r="H66" s="1375">
        <f t="shared" si="7"/>
        <v>-32691.130230316085</v>
      </c>
      <c r="I66" s="1375">
        <f t="shared" si="7"/>
        <v>-31062.939645730839</v>
      </c>
      <c r="J66" s="1375">
        <f t="shared" si="7"/>
        <v>-29334.522687111399</v>
      </c>
      <c r="K66" s="1375">
        <f t="shared" si="7"/>
        <v>-27500.179116773616</v>
      </c>
    </row>
    <row r="68" spans="1:11">
      <c r="A68" s="1373" t="s">
        <v>4287</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1174</v>
      </c>
    </row>
    <row r="71" spans="1:11">
      <c r="A71" s="1373" t="s">
        <v>1214</v>
      </c>
      <c r="B71" s="1375">
        <f t="shared" ref="B71:G71" si="9">+B64</f>
        <v>48658.128373823158</v>
      </c>
      <c r="C71" s="1375">
        <f t="shared" si="9"/>
        <v>47338.580430370792</v>
      </c>
      <c r="D71" s="1375">
        <f t="shared" si="9"/>
        <v>45923.103012721622</v>
      </c>
      <c r="E71" s="1375">
        <f t="shared" si="9"/>
        <v>44408.606375931704</v>
      </c>
      <c r="F71" s="1375">
        <f t="shared" si="9"/>
        <v>42790.885845494719</v>
      </c>
      <c r="G71" s="1375">
        <f t="shared" si="9"/>
        <v>41066.617924710154</v>
      </c>
      <c r="H71" s="1375">
        <f t="shared" ref="H71:K71" si="10">+H64</f>
        <v>39229.356276379302</v>
      </c>
      <c r="I71" s="1375">
        <f t="shared" si="10"/>
        <v>37275.527574877007</v>
      </c>
      <c r="J71" s="1375">
        <f t="shared" si="10"/>
        <v>35201.427224533676</v>
      </c>
      <c r="K71" s="1375">
        <f t="shared" si="10"/>
        <v>33000.214940128339</v>
      </c>
    </row>
    <row r="72" spans="1:11">
      <c r="A72" s="1373" t="s">
        <v>4288</v>
      </c>
      <c r="B72" s="1375">
        <f t="shared" ref="B72:G72" si="11">IF($B$25="N/A",B65,B65+$B$25)</f>
        <v>-41572.271191038926</v>
      </c>
      <c r="C72" s="1375">
        <f t="shared" si="11"/>
        <v>-41572.271191038926</v>
      </c>
      <c r="D72" s="1375">
        <f t="shared" si="11"/>
        <v>-41572.271191038926</v>
      </c>
      <c r="E72" s="1375">
        <f t="shared" si="11"/>
        <v>-41572.271191038926</v>
      </c>
      <c r="F72" s="1375">
        <f t="shared" si="11"/>
        <v>-41572.271191038926</v>
      </c>
      <c r="G72" s="1375">
        <f t="shared" si="11"/>
        <v>-41572.271191038926</v>
      </c>
      <c r="H72" s="1375">
        <f t="shared" ref="H72:K72" si="12">IF($B$25="N/A",H65,H65+$B$25)</f>
        <v>-41572.271191038926</v>
      </c>
      <c r="I72" s="1375">
        <f t="shared" si="12"/>
        <v>-41572.271191038926</v>
      </c>
      <c r="J72" s="1375">
        <f t="shared" si="12"/>
        <v>-41572.271191038926</v>
      </c>
      <c r="K72" s="1375">
        <f t="shared" si="12"/>
        <v>-41572.271191038926</v>
      </c>
    </row>
    <row r="73" spans="1:11">
      <c r="A73" s="1373" t="s">
        <v>4289</v>
      </c>
      <c r="B73" s="1374">
        <f>+'Part VII-Pro Forma'!B58</f>
        <v>2000</v>
      </c>
      <c r="C73" s="1374">
        <f>+'Part VII-Pro Forma'!C58</f>
        <v>2000</v>
      </c>
      <c r="D73" s="1374">
        <f>+'Part VII-Pro Forma'!D58</f>
        <v>2000</v>
      </c>
      <c r="E73" s="1374">
        <f>+'Part VII-Pro Forma'!E58</f>
        <v>2000</v>
      </c>
      <c r="F73" s="1374">
        <f>+'Part VII-Pro Forma'!F58</f>
        <v>2000</v>
      </c>
      <c r="G73" s="1374">
        <f>+'Part VII-Pro Forma'!G58</f>
        <v>2000</v>
      </c>
      <c r="H73" s="1374">
        <f>+'Part VII-Pro Forma'!H58</f>
        <v>2000</v>
      </c>
      <c r="I73" s="1374">
        <f>+'Part VII-Pro Forma'!I58</f>
        <v>2000</v>
      </c>
      <c r="J73" s="1374">
        <f>+'Part VII-Pro Forma'!J58</f>
        <v>2000</v>
      </c>
      <c r="K73" s="1374">
        <f>+'Part VII-Pro Forma'!K58</f>
        <v>2000</v>
      </c>
    </row>
    <row r="74" spans="1:11">
      <c r="A74" s="1373" t="s">
        <v>4290</v>
      </c>
      <c r="B74" s="1375">
        <f t="shared" ref="B74:G74" si="13">+SUM(B71:B73)</f>
        <v>9085.8571827842316</v>
      </c>
      <c r="C74" s="1375">
        <f t="shared" si="13"/>
        <v>7766.3092393318657</v>
      </c>
      <c r="D74" s="1375">
        <f t="shared" si="13"/>
        <v>6350.8318216826956</v>
      </c>
      <c r="E74" s="1375">
        <f t="shared" si="13"/>
        <v>4836.3351848927778</v>
      </c>
      <c r="F74" s="1375">
        <f t="shared" si="13"/>
        <v>3218.6146544557923</v>
      </c>
      <c r="G74" s="1375">
        <f t="shared" si="13"/>
        <v>1494.3467336712274</v>
      </c>
      <c r="H74" s="1375">
        <f t="shared" ref="H74:K74" si="14">+SUM(H71:H73)</f>
        <v>-342.91491465962463</v>
      </c>
      <c r="I74" s="1375">
        <f t="shared" si="14"/>
        <v>-2296.7436161619189</v>
      </c>
      <c r="J74" s="1375">
        <f t="shared" si="14"/>
        <v>-4370.8439665052501</v>
      </c>
      <c r="K74" s="1375">
        <f t="shared" si="14"/>
        <v>-6572.0562509105876</v>
      </c>
    </row>
    <row r="75" spans="1:11">
      <c r="A75" s="1373" t="s">
        <v>4133</v>
      </c>
      <c r="B75" s="1375">
        <f t="shared" ref="B75:G75" si="15">-B74</f>
        <v>-9085.8571827842316</v>
      </c>
      <c r="C75" s="1375">
        <f t="shared" si="15"/>
        <v>-7766.3092393318657</v>
      </c>
      <c r="D75" s="1375">
        <f t="shared" si="15"/>
        <v>-6350.8318216826956</v>
      </c>
      <c r="E75" s="1375">
        <f t="shared" si="15"/>
        <v>-4836.3351848927778</v>
      </c>
      <c r="F75" s="1375">
        <f t="shared" si="15"/>
        <v>-3218.6146544557923</v>
      </c>
      <c r="G75" s="1375">
        <f t="shared" si="15"/>
        <v>-1494.3467336712274</v>
      </c>
      <c r="H75" s="1375">
        <f t="shared" ref="H75:K75" si="16">-H74</f>
        <v>342.91491465962463</v>
      </c>
      <c r="I75" s="1375">
        <f t="shared" si="16"/>
        <v>2296.7436161619189</v>
      </c>
      <c r="J75" s="1375">
        <f t="shared" si="16"/>
        <v>4370.8439665052501</v>
      </c>
      <c r="K75" s="1375">
        <f t="shared" si="16"/>
        <v>6572.0562509105876</v>
      </c>
    </row>
    <row r="76" spans="1:11">
      <c r="A76" s="1373" t="s">
        <v>4291</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4292</v>
      </c>
      <c r="B78" s="1374">
        <f>IF($B$26="","",-FV('Part III-Sources of Funds'!$K$37/12,12,B72/12,K58))</f>
        <v>-457294.98310142825</v>
      </c>
      <c r="C78" s="1374">
        <f>IF($B$26="","",-FV('Part III-Sources of Funds'!$K$37/12,12,C72/12,B78))</f>
        <v>-498867.2542924672</v>
      </c>
      <c r="D78" s="1374">
        <f>IF($B$26="","",-FV('Part III-Sources of Funds'!$K$37/12,12,D72/12,C78))</f>
        <v>-540439.52548350615</v>
      </c>
      <c r="E78" s="1374">
        <f>IF($B$26="","",-FV('Part III-Sources of Funds'!$K$37/12,12,E72/12,D78))</f>
        <v>-582011.79667454504</v>
      </c>
      <c r="F78" s="1374">
        <f>IF($B$26="","",-FV('Part III-Sources of Funds'!$K$37/12,12,F72/12,E78))</f>
        <v>-623584.06786558393</v>
      </c>
      <c r="G78" s="1374">
        <f>IF($B$26="","",-FV('Part III-Sources of Funds'!$K$37/12,12,G72/12,F78))</f>
        <v>-665156.33905662282</v>
      </c>
      <c r="H78" s="1374">
        <f>IF($B$26="","",-FV('Part III-Sources of Funds'!$K$37/12,12,H72/12,G78))</f>
        <v>-706728.61024766171</v>
      </c>
      <c r="I78" s="1374">
        <f>IF($B$26="","",-FV('Part III-Sources of Funds'!$K$37/12,12,I72/12,H78))</f>
        <v>-748300.8814387006</v>
      </c>
      <c r="J78" s="1374">
        <f>IF($B$26="","",-FV('Part III-Sources of Funds'!$K$37/12,12,J72/12,I78))</f>
        <v>-789873.15262973949</v>
      </c>
      <c r="K78" s="1374">
        <f>IF($B$26="","",-FV('Part III-Sources of Funds'!$K$37/12,12,K72/12,J78))</f>
        <v>-831445.42382077838</v>
      </c>
    </row>
    <row r="79" spans="1:11">
      <c r="A79" s="1373" t="s">
        <v>4134</v>
      </c>
    </row>
    <row r="82" spans="1:2">
      <c r="A82" s="1373" t="s">
        <v>4293</v>
      </c>
      <c r="B82" s="145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0" t="s">
        <v>2934</v>
      </c>
      <c r="B1" s="2210"/>
      <c r="C1" s="2210"/>
      <c r="D1" s="2210"/>
      <c r="E1" s="2210"/>
      <c r="F1" s="2210"/>
      <c r="G1" s="2210"/>
      <c r="H1" s="2210"/>
      <c r="I1" s="2210"/>
      <c r="J1" s="2210"/>
    </row>
    <row r="2" spans="1:11" ht="15.75">
      <c r="A2" s="2210" t="str">
        <f>Overview!C8</f>
        <v>Hillcrest Apartments</v>
      </c>
      <c r="B2" s="2210"/>
      <c r="C2" s="2210"/>
      <c r="D2" s="2210"/>
      <c r="E2" s="2210"/>
      <c r="F2" s="2210"/>
      <c r="G2" s="2210"/>
      <c r="H2" s="2210"/>
      <c r="I2" s="2210"/>
      <c r="J2" s="2210"/>
    </row>
    <row r="3" spans="1:11" ht="15.75">
      <c r="A3" s="2210" t="str">
        <f>'Subsidy Layering Memo'!F14</f>
        <v>Dublin, Laurens</v>
      </c>
      <c r="B3" s="2210"/>
      <c r="C3" s="2210"/>
      <c r="D3" s="2210"/>
      <c r="E3" s="2210"/>
      <c r="F3" s="2210"/>
      <c r="G3" s="2210"/>
      <c r="H3" s="2210"/>
      <c r="I3" s="2210"/>
      <c r="J3" s="2210"/>
    </row>
    <row r="4" spans="1:11" ht="15.75">
      <c r="A4" s="2211" t="s">
        <v>2935</v>
      </c>
      <c r="B4" s="2210"/>
      <c r="C4" s="2210"/>
      <c r="D4" s="2210"/>
      <c r="E4" s="2210"/>
      <c r="F4" s="2210"/>
      <c r="G4" s="2210"/>
      <c r="H4" s="2210"/>
      <c r="I4" s="2210"/>
      <c r="J4" s="2210"/>
    </row>
    <row r="5" spans="1:11" ht="5.25" customHeight="1"/>
    <row r="6" spans="1:11" ht="5.25" customHeight="1"/>
    <row r="7" spans="1:11" ht="15.75">
      <c r="A7" s="2212" t="s">
        <v>2936</v>
      </c>
      <c r="B7" s="2212"/>
      <c r="C7" s="2213"/>
    </row>
    <row r="8" spans="1:11" ht="102.75" customHeight="1">
      <c r="A8" s="2209" t="s">
        <v>4295</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5"/>
      <c r="C10" s="2215"/>
      <c r="D10" s="2215"/>
      <c r="E10" s="2215"/>
      <c r="F10" s="2215"/>
      <c r="G10" s="2215"/>
      <c r="H10" s="2215"/>
      <c r="I10" s="2215"/>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0</v>
      </c>
    </row>
    <row r="16" spans="1:11">
      <c r="A16" s="692" t="s">
        <v>2942</v>
      </c>
      <c r="D16" s="693">
        <f>Overview!C13</f>
        <v>48</v>
      </c>
    </row>
    <row r="17" spans="1:11" ht="14.25" customHeight="1"/>
    <row r="18" spans="1:11" ht="15.75">
      <c r="A18" s="688" t="s">
        <v>2943</v>
      </c>
      <c r="B18" s="689"/>
      <c r="C18" s="689"/>
    </row>
    <row r="19" spans="1:11" ht="48.75" customHeight="1">
      <c r="A19" s="2216" t="s">
        <v>2970</v>
      </c>
      <c r="B19" s="2216"/>
      <c r="C19" s="2216"/>
      <c r="D19" s="2216"/>
      <c r="E19" s="2216"/>
      <c r="F19" s="2216"/>
      <c r="G19" s="2216"/>
      <c r="H19" s="2216"/>
      <c r="I19" s="2216"/>
      <c r="J19" s="2216"/>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7" t="s">
        <v>2963</v>
      </c>
      <c r="B22" s="2217"/>
      <c r="C22" s="2217"/>
      <c r="D22" s="2217"/>
      <c r="E22" s="2217"/>
      <c r="F22" s="2217"/>
      <c r="G22" s="2217"/>
      <c r="H22" s="2217"/>
      <c r="I22" s="2217"/>
      <c r="J22" s="2217"/>
      <c r="K22" s="1456"/>
    </row>
    <row r="23" spans="1:11" ht="15" customHeight="1">
      <c r="A23" s="2214"/>
      <c r="B23" s="2214"/>
      <c r="C23" s="2214"/>
      <c r="D23" s="2214"/>
      <c r="E23" s="2214"/>
      <c r="F23" s="2214"/>
      <c r="G23" s="2214"/>
      <c r="H23" s="2214"/>
      <c r="I23" s="2214"/>
      <c r="J23" s="2214"/>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933</v>
      </c>
      <c r="F28" s="686" t="s">
        <v>2947</v>
      </c>
      <c r="I28" s="686" t="s">
        <v>933</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2018-032  Hillcrest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2218"/>
      <c r="J7" s="2218"/>
      <c r="K7" s="2218"/>
      <c r="L7" s="686"/>
      <c r="M7" s="686"/>
    </row>
    <row r="8" spans="1:14" ht="15.75">
      <c r="A8" s="689" t="s">
        <v>3008</v>
      </c>
      <c r="B8" s="689"/>
      <c r="C8" s="2218" t="str">
        <f>'Part I-Project Information'!F34</f>
        <v>Hillcrest Apartments</v>
      </c>
      <c r="D8" s="2218"/>
      <c r="E8" s="1458" t="str">
        <f>'Part I-Project Information'!O6</f>
        <v>2018-032</v>
      </c>
      <c r="F8" s="728" t="s">
        <v>3009</v>
      </c>
      <c r="G8" s="727"/>
      <c r="H8" s="2218" t="str">
        <f>CONCATENATE('Part I-Project Information'!F38,", ",'Part I-Project Information'!J39)</f>
        <v>Dublin, Laurens</v>
      </c>
      <c r="I8" s="2218"/>
      <c r="J8" s="2218"/>
      <c r="K8" s="2218"/>
      <c r="L8" s="686"/>
      <c r="M8" s="729"/>
    </row>
    <row r="9" spans="1:14" ht="15.75">
      <c r="A9" s="689" t="s">
        <v>3011</v>
      </c>
      <c r="B9" s="689"/>
      <c r="C9" s="2218" t="s">
        <v>1783</v>
      </c>
      <c r="D9" s="2218"/>
      <c r="E9" s="727"/>
      <c r="F9" s="728" t="s">
        <v>3012</v>
      </c>
      <c r="G9" s="727"/>
      <c r="H9" s="2218" t="str">
        <f>'Part II-Development Team'!H5</f>
        <v>Hillcrest Apartments, L.P.</v>
      </c>
      <c r="I9" s="2218"/>
      <c r="J9" s="2218"/>
      <c r="K9" s="2218"/>
      <c r="L9" s="2218"/>
      <c r="M9" s="729"/>
    </row>
    <row r="10" spans="1:14" ht="15.75">
      <c r="A10" s="689" t="s">
        <v>3014</v>
      </c>
      <c r="B10" s="686"/>
      <c r="C10" s="1458" t="str">
        <f>'Part II-Development Team'!H14</f>
        <v>Braden Laurens LLC</v>
      </c>
      <c r="D10" s="727"/>
      <c r="E10" s="727"/>
      <c r="F10" s="728" t="s">
        <v>3583</v>
      </c>
      <c r="G10" s="727"/>
      <c r="H10" s="2218" t="str">
        <f>'Part II-Development Team'!H33</f>
        <v>Raymond James</v>
      </c>
      <c r="I10" s="2218"/>
      <c r="J10" s="2218"/>
      <c r="K10" s="2218" t="str">
        <f>'Part II-Development Team'!H39</f>
        <v>Raymond James</v>
      </c>
      <c r="L10" s="2218"/>
    </row>
    <row r="11" spans="1:14" ht="15.75">
      <c r="A11" s="689" t="s">
        <v>3015</v>
      </c>
      <c r="B11" s="686"/>
      <c r="C11" s="1458" t="str">
        <f>IF('Part II-Development Team'!H20="","",'Part II-Development Team'!H20)</f>
        <v>None</v>
      </c>
      <c r="D11" s="727"/>
      <c r="E11" s="1388" t="str">
        <f>IF('Part II-Development Team'!H26="","",'Part II-Development Team'!H26)</f>
        <v>None</v>
      </c>
      <c r="F11" s="728" t="s">
        <v>657</v>
      </c>
      <c r="G11" s="727"/>
      <c r="H11" s="2218" t="str">
        <f>'Part II-Development Team'!H54</f>
        <v>Braden Development LLC</v>
      </c>
      <c r="I11" s="2218"/>
      <c r="J11" s="2218"/>
      <c r="K11" s="2218" t="str">
        <f>'Part II-Development Team'!H60</f>
        <v>None</v>
      </c>
      <c r="L11" s="2218"/>
      <c r="M11" s="2218" t="str">
        <f>'Part II-Development Team'!H66</f>
        <v>None</v>
      </c>
      <c r="N11" s="2218"/>
    </row>
    <row r="12" spans="1:14" ht="15.75">
      <c r="A12" s="689" t="s">
        <v>3016</v>
      </c>
      <c r="B12" s="686"/>
      <c r="C12" s="1458" t="str">
        <f>'Part II-Development Team'!H86</f>
        <v>Olympia Construction, Inc.</v>
      </c>
      <c r="D12" s="727"/>
      <c r="E12" s="727"/>
      <c r="F12" s="728" t="s">
        <v>3017</v>
      </c>
      <c r="G12" s="727"/>
      <c r="H12" s="2218" t="str">
        <f>'Part II-Development Team'!H92</f>
        <v>Boyd Management Company</v>
      </c>
      <c r="I12" s="2218"/>
      <c r="J12" s="2218"/>
      <c r="K12" s="2218"/>
      <c r="L12" s="686"/>
      <c r="M12" s="686"/>
    </row>
    <row r="13" spans="1:14" ht="15.75">
      <c r="A13" s="689" t="s">
        <v>3018</v>
      </c>
      <c r="B13" s="728"/>
      <c r="C13" s="685">
        <f>'Part VI-Revenues &amp; Expenses'!$O$62</f>
        <v>48</v>
      </c>
      <c r="E13" s="1389">
        <f>'Part VI-Revenues &amp; Expenses'!$O$58</f>
        <v>48</v>
      </c>
      <c r="F13" s="728" t="s">
        <v>4305</v>
      </c>
      <c r="G13" s="727"/>
      <c r="H13" s="1459">
        <f>'Part I-Project Information'!H72</f>
        <v>9</v>
      </c>
      <c r="I13" s="1390"/>
      <c r="J13" s="1390"/>
      <c r="K13" s="1459">
        <f>'Part I-Project Information'!P71</f>
        <v>40185</v>
      </c>
      <c r="L13" s="686"/>
      <c r="M13" s="686"/>
    </row>
    <row r="14" spans="1:14" ht="15.75">
      <c r="A14" s="689" t="s">
        <v>3326</v>
      </c>
      <c r="B14" s="686"/>
      <c r="C14" s="1459" t="str">
        <f>'Part I-Project Information'!H78</f>
        <v>Family</v>
      </c>
      <c r="D14" s="2218" t="str">
        <f>IF('Part I-Project Information'!N70=0,"",'Part I-Project Information'!N70)</f>
        <v/>
      </c>
      <c r="E14" s="2218"/>
      <c r="F14" s="728" t="s">
        <v>3019</v>
      </c>
      <c r="G14" s="727"/>
      <c r="H14" s="2219" t="s">
        <v>3522</v>
      </c>
      <c r="I14" s="2219"/>
      <c r="J14" s="2219"/>
      <c r="K14" s="2219" t="s">
        <v>3522</v>
      </c>
      <c r="L14" s="2219"/>
      <c r="M14" s="686"/>
    </row>
    <row r="15" spans="1:14" ht="15.75">
      <c r="A15" s="689" t="s">
        <v>3020</v>
      </c>
      <c r="B15" s="686"/>
      <c r="C15" s="730" t="s">
        <v>1783</v>
      </c>
      <c r="D15" s="727"/>
      <c r="E15" s="727"/>
      <c r="F15" s="728" t="s">
        <v>3327</v>
      </c>
      <c r="G15" s="727"/>
      <c r="H15" s="1458" t="str">
        <f>'Part I-Project Information'!K40</f>
        <v>Rural</v>
      </c>
      <c r="I15" s="727"/>
      <c r="J15" s="727"/>
      <c r="K15" s="727"/>
      <c r="L15" s="686"/>
      <c r="M15" s="686"/>
    </row>
    <row r="16" spans="1:14" ht="15.75">
      <c r="A16" s="689" t="s">
        <v>3556</v>
      </c>
      <c r="B16" s="686"/>
      <c r="C16" s="1458">
        <f>'Part I-Project Information'!H96</f>
        <v>0</v>
      </c>
      <c r="D16" s="731" t="s">
        <v>2695</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3838818</v>
      </c>
      <c r="D18" s="1437">
        <f>IF(C18=0,"",$C$29/C18)</f>
        <v>0</v>
      </c>
      <c r="E18" s="727" t="s">
        <v>3330</v>
      </c>
      <c r="F18" s="728" t="s">
        <v>3331</v>
      </c>
      <c r="G18" s="727"/>
      <c r="H18" s="2220">
        <f>'Part IV-A-Uses of Funds'!B44</f>
        <v>1780000</v>
      </c>
      <c r="I18" s="2220"/>
      <c r="J18" s="1436">
        <f>IF(H18=0,"",$C$29/H18)</f>
        <v>0</v>
      </c>
      <c r="K18" s="2218" t="s">
        <v>3332</v>
      </c>
      <c r="L18" s="2218"/>
      <c r="M18" s="686"/>
    </row>
    <row r="19" spans="1:13" ht="15.75">
      <c r="A19" s="689" t="s">
        <v>3021</v>
      </c>
      <c r="B19" s="686"/>
      <c r="C19" s="1460">
        <f>C18/C13</f>
        <v>79975.375</v>
      </c>
      <c r="D19" s="727"/>
      <c r="E19" s="686"/>
      <c r="F19" s="689" t="s">
        <v>3021</v>
      </c>
      <c r="G19" s="686"/>
      <c r="H19" s="2221">
        <f>H18/C13</f>
        <v>37083.333333333336</v>
      </c>
      <c r="I19" s="2221"/>
      <c r="J19" s="686"/>
      <c r="K19" s="686"/>
      <c r="L19" s="686"/>
      <c r="M19" s="686"/>
    </row>
    <row r="20" spans="1:13" ht="15.75">
      <c r="A20" s="689" t="s">
        <v>3022</v>
      </c>
      <c r="B20" s="686"/>
      <c r="C20" s="1462">
        <f>C18/K13</f>
        <v>95.528630085852924</v>
      </c>
      <c r="D20" s="732"/>
      <c r="E20" s="733"/>
      <c r="F20" s="689" t="s">
        <v>3022</v>
      </c>
      <c r="G20" s="686"/>
      <c r="H20" s="2222">
        <f>H18/K13</f>
        <v>44.295135000622125</v>
      </c>
      <c r="I20" s="222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f>'Part III-Sources of Funds'!E37</f>
        <v>0</v>
      </c>
      <c r="C25" s="739">
        <f>'Part III-Sources of Funds'!I37</f>
        <v>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3834749</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v>
      </c>
      <c r="D40" s="686"/>
      <c r="E40" s="686"/>
      <c r="F40" s="689"/>
      <c r="G40" s="689" t="s">
        <v>3042</v>
      </c>
      <c r="H40" s="686"/>
      <c r="I40" s="686"/>
      <c r="K40" s="741">
        <f>C30/C18</f>
        <v>0.99894003831387679</v>
      </c>
      <c r="L40" s="686"/>
      <c r="M40" s="686"/>
    </row>
    <row r="46" spans="1:13" ht="15.75">
      <c r="A46" s="752" t="s">
        <v>3043</v>
      </c>
      <c r="B46" s="722"/>
      <c r="C46" s="722"/>
      <c r="D46" s="722"/>
      <c r="E46" s="722"/>
      <c r="F46" s="722"/>
      <c r="G46" s="722"/>
      <c r="H46" s="722"/>
      <c r="I46" s="722"/>
      <c r="J46" s="722"/>
      <c r="K46" s="722"/>
      <c r="L46" s="722"/>
      <c r="M46" s="686"/>
    </row>
    <row r="47" spans="1:13" ht="15.75">
      <c r="A47" s="752" t="str">
        <f>C8</f>
        <v>Hillcrest Apartments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3" t="s">
        <v>3046</v>
      </c>
      <c r="L50" s="222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240384</v>
      </c>
      <c r="D52" s="758"/>
      <c r="E52" s="758">
        <f>$C$52</f>
        <v>240384</v>
      </c>
      <c r="F52" s="758"/>
      <c r="G52" s="758">
        <f>$C$52</f>
        <v>240384</v>
      </c>
      <c r="H52" s="758"/>
      <c r="I52" s="758">
        <f>$C$52</f>
        <v>240384</v>
      </c>
      <c r="J52" s="758"/>
      <c r="K52" s="758">
        <f>$C$52</f>
        <v>240384</v>
      </c>
      <c r="L52" s="759"/>
      <c r="M52" s="28"/>
      <c r="N52" s="28"/>
    </row>
    <row r="53" spans="1:14" s="686" customFormat="1" ht="18.75" customHeight="1">
      <c r="B53" s="757" t="s">
        <v>3050</v>
      </c>
      <c r="C53" s="758">
        <f>'Part VII-Pro Forma'!B15</f>
        <v>4807.68</v>
      </c>
      <c r="D53" s="758"/>
      <c r="E53" s="758">
        <f>$C$53</f>
        <v>4807.68</v>
      </c>
      <c r="F53" s="758"/>
      <c r="G53" s="758">
        <f>$C$53</f>
        <v>4807.68</v>
      </c>
      <c r="H53" s="758"/>
      <c r="I53" s="758">
        <f>$C$53</f>
        <v>4807.68</v>
      </c>
      <c r="J53" s="758"/>
      <c r="K53" s="758">
        <f>$C$53</f>
        <v>4807.68</v>
      </c>
      <c r="L53" s="759"/>
      <c r="M53" s="28"/>
      <c r="N53" s="28"/>
    </row>
    <row r="54" spans="1:14" s="686" customFormat="1" ht="18.75" customHeight="1">
      <c r="B54" s="757" t="s">
        <v>3048</v>
      </c>
      <c r="C54" s="758">
        <f>'Part VII-Pro Forma'!B16</f>
        <v>-17163.417600000001</v>
      </c>
      <c r="D54" s="758"/>
      <c r="E54" s="758">
        <f>-($C$52+E53)*F50</f>
        <v>-24519.168000000001</v>
      </c>
      <c r="F54" s="760"/>
      <c r="G54" s="758">
        <f>-($C$52+G53)*0.07</f>
        <v>-17163.417600000001</v>
      </c>
      <c r="H54" s="758"/>
      <c r="I54" s="758">
        <f>-($C$52+I53)*0.07</f>
        <v>-17163.417600000001</v>
      </c>
      <c r="J54" s="758"/>
      <c r="K54" s="758">
        <f>-($C$52+K53)*L54</f>
        <v>-24519.168000000001</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228028.26240000001</v>
      </c>
      <c r="D56" s="758"/>
      <c r="E56" s="764">
        <f>SUM(E52:E55)</f>
        <v>220672.51199999999</v>
      </c>
      <c r="F56" s="758"/>
      <c r="G56" s="764">
        <f>SUM(G52:G55)</f>
        <v>228028.26240000001</v>
      </c>
      <c r="H56" s="758"/>
      <c r="I56" s="764">
        <f>SUM(I52:I55)</f>
        <v>228028.26240000001</v>
      </c>
      <c r="J56" s="758"/>
      <c r="K56" s="764">
        <f>SUM(K52:K55)</f>
        <v>220672.51199999999</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47668</v>
      </c>
      <c r="D58" s="758"/>
      <c r="E58" s="758">
        <f>$C$58</f>
        <v>47668</v>
      </c>
      <c r="F58" s="758"/>
      <c r="G58" s="758">
        <f>$C$58</f>
        <v>47668</v>
      </c>
      <c r="H58" s="758"/>
      <c r="I58" s="758">
        <f>$C$58</f>
        <v>47668</v>
      </c>
      <c r="J58" s="758"/>
      <c r="K58" s="758">
        <f>$C$58</f>
        <v>47668</v>
      </c>
      <c r="L58" s="759"/>
      <c r="M58" s="28"/>
      <c r="N58" s="28"/>
    </row>
    <row r="59" spans="1:14" s="686" customFormat="1" ht="18.75" customHeight="1">
      <c r="B59" s="757" t="s">
        <v>3053</v>
      </c>
      <c r="C59" s="758">
        <f>+'Part VI-Revenues &amp; Expenses'!F188</f>
        <v>29000</v>
      </c>
      <c r="D59" s="758"/>
      <c r="E59" s="758">
        <f>$C$59</f>
        <v>29000</v>
      </c>
      <c r="F59" s="758"/>
      <c r="G59" s="758">
        <f>$C$59</f>
        <v>29000</v>
      </c>
      <c r="H59" s="758"/>
      <c r="I59" s="758">
        <f>$C$59</f>
        <v>29000</v>
      </c>
      <c r="J59" s="758"/>
      <c r="K59" s="758">
        <f>$C$59*(1+$L$59)</f>
        <v>30160</v>
      </c>
      <c r="L59" s="766">
        <v>0.04</v>
      </c>
      <c r="M59" s="28"/>
      <c r="N59" s="28"/>
    </row>
    <row r="60" spans="1:14" s="686" customFormat="1" ht="18.75" customHeight="1">
      <c r="B60" s="757" t="s">
        <v>1386</v>
      </c>
      <c r="C60" s="758">
        <f>+'Part VI-Revenues &amp; Expenses'!K185</f>
        <v>31640</v>
      </c>
      <c r="D60" s="758"/>
      <c r="E60" s="758">
        <f>$C$60</f>
        <v>31640</v>
      </c>
      <c r="F60" s="758"/>
      <c r="G60" s="758">
        <f>$C$60</f>
        <v>31640</v>
      </c>
      <c r="H60" s="758"/>
      <c r="I60" s="758">
        <f>$C$60*(1+$J$50)</f>
        <v>32589.200000000001</v>
      </c>
      <c r="J60" s="760"/>
      <c r="K60" s="758">
        <f>$C$60*(1+$J$50)</f>
        <v>32589.200000000001</v>
      </c>
      <c r="L60" s="761">
        <v>0.03</v>
      </c>
      <c r="M60" s="28"/>
      <c r="N60" s="28"/>
    </row>
    <row r="61" spans="1:14" s="686" customFormat="1" ht="18.75" customHeight="1">
      <c r="B61" s="757" t="s">
        <v>1387</v>
      </c>
      <c r="C61" s="758">
        <f>+'Part VI-Revenues &amp; Expenses'!P167</f>
        <v>21326</v>
      </c>
      <c r="D61" s="758"/>
      <c r="E61" s="758">
        <f>$C$61</f>
        <v>21326</v>
      </c>
      <c r="F61" s="758"/>
      <c r="G61" s="758">
        <f>$C$61*(1+H50)</f>
        <v>22392.3</v>
      </c>
      <c r="H61" s="760"/>
      <c r="I61" s="758">
        <f>$C$61</f>
        <v>21326</v>
      </c>
      <c r="J61" s="758"/>
      <c r="K61" s="758">
        <f>$C$61*(1+$L$61)</f>
        <v>22392.3</v>
      </c>
      <c r="L61" s="761">
        <v>0.05</v>
      </c>
      <c r="M61" s="28"/>
      <c r="N61" s="28"/>
    </row>
    <row r="62" spans="1:14" s="686" customFormat="1" ht="18.75" customHeight="1">
      <c r="B62" s="763" t="s">
        <v>3054</v>
      </c>
      <c r="C62" s="764">
        <f>SUM(C58:C61)</f>
        <v>129634</v>
      </c>
      <c r="D62" s="758"/>
      <c r="E62" s="764">
        <f>SUM(E58:E61)</f>
        <v>129634</v>
      </c>
      <c r="F62" s="758"/>
      <c r="G62" s="764">
        <f>SUM(G58:G61)</f>
        <v>130700.3</v>
      </c>
      <c r="H62" s="758"/>
      <c r="I62" s="764">
        <f>SUM(I58:I61)</f>
        <v>130583.2</v>
      </c>
      <c r="J62" s="758"/>
      <c r="K62" s="764">
        <f>SUM(K58:K61)</f>
        <v>132809.5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98394.262400000007</v>
      </c>
      <c r="D64" s="770"/>
      <c r="E64" s="770">
        <f>E56-E62</f>
        <v>91038.511999999988</v>
      </c>
      <c r="F64" s="770"/>
      <c r="G64" s="770">
        <f>G56-G62</f>
        <v>97327.962400000004</v>
      </c>
      <c r="H64" s="770"/>
      <c r="I64" s="770">
        <f>I56-I62</f>
        <v>97445.06240000001</v>
      </c>
      <c r="J64" s="770"/>
      <c r="K64" s="770">
        <f>K56-K62</f>
        <v>87863.011999999988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16800</v>
      </c>
      <c r="D66" s="765"/>
      <c r="E66" s="765">
        <f>$C$66</f>
        <v>16800</v>
      </c>
      <c r="F66" s="765"/>
      <c r="G66" s="765">
        <f>$C$66</f>
        <v>16800</v>
      </c>
      <c r="H66" s="765"/>
      <c r="I66" s="765">
        <f>$C$66</f>
        <v>16800</v>
      </c>
      <c r="J66" s="765"/>
      <c r="K66" s="765">
        <f>$C$66</f>
        <v>16800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24192</v>
      </c>
      <c r="D68" s="765"/>
      <c r="E68" s="765">
        <f>$C$68</f>
        <v>24192</v>
      </c>
      <c r="F68" s="765"/>
      <c r="G68" s="765">
        <f>$C$68</f>
        <v>24192</v>
      </c>
      <c r="H68" s="765"/>
      <c r="I68" s="765">
        <f>$C$68</f>
        <v>24192</v>
      </c>
      <c r="J68" s="765"/>
      <c r="K68" s="765">
        <f>$C$68</f>
        <v>24192</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57402.262400000007</v>
      </c>
      <c r="D70" s="774"/>
      <c r="E70" s="773">
        <f>E64-E66-E68</f>
        <v>50046.511999999988</v>
      </c>
      <c r="F70" s="774"/>
      <c r="G70" s="773">
        <f>G64-G66-G68</f>
        <v>56335.962400000004</v>
      </c>
      <c r="H70" s="774"/>
      <c r="I70" s="773">
        <f>I64-I66-I68</f>
        <v>56453.06240000001</v>
      </c>
      <c r="J70" s="774"/>
      <c r="K70" s="773">
        <f>K64-K66-K68</f>
        <v>46871.011999999988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3060</v>
      </c>
      <c r="C73" s="1439">
        <f>C76/C62</f>
        <v>0.4428025240291899</v>
      </c>
      <c r="D73" s="778"/>
      <c r="E73" s="1439">
        <f>E76/E62</f>
        <v>0.3860600768316953</v>
      </c>
      <c r="F73" s="778"/>
      <c r="G73" s="1439">
        <f>G76/G62</f>
        <v>0.43103162272772139</v>
      </c>
      <c r="H73" s="778"/>
      <c r="I73" s="1439">
        <f>I76/I62</f>
        <v>0.43231489502478121</v>
      </c>
      <c r="J73" s="778"/>
      <c r="K73" s="1439">
        <f>K76/K62</f>
        <v>0.35291912099661538</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1174</v>
      </c>
      <c r="C76" s="758">
        <f>C70+C75</f>
        <v>57402.262400000007</v>
      </c>
      <c r="D76" s="758"/>
      <c r="E76" s="758">
        <f>E70+E75</f>
        <v>50046.511999999988</v>
      </c>
      <c r="F76" s="758"/>
      <c r="G76" s="758">
        <f>G70+G75</f>
        <v>56335.962400000004</v>
      </c>
      <c r="H76" s="758"/>
      <c r="I76" s="758">
        <f>I70+I75</f>
        <v>56453.06240000001</v>
      </c>
      <c r="J76" s="758"/>
      <c r="K76" s="758">
        <f>K70+K75</f>
        <v>46871.011999999988</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1742</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622</v>
      </c>
      <c r="F12" s="1467" t="str">
        <f>Overview!$C$8</f>
        <v>Hillcrest Apartments</v>
      </c>
    </row>
    <row r="13" spans="1:10" ht="15">
      <c r="A13" s="699"/>
      <c r="D13" s="698" t="s">
        <v>2958</v>
      </c>
      <c r="F13" s="1467" t="str">
        <f>Overview!E8</f>
        <v>2018-032</v>
      </c>
    </row>
    <row r="14" spans="1:10" ht="15">
      <c r="A14" s="699"/>
      <c r="D14" s="698" t="s">
        <v>2959</v>
      </c>
      <c r="F14" s="1467" t="str">
        <f>Overview!H8</f>
        <v>Dublin, Laurens</v>
      </c>
    </row>
    <row r="15" spans="1:10" ht="15">
      <c r="A15" s="699"/>
      <c r="D15" s="698" t="s">
        <v>3323</v>
      </c>
      <c r="F15" s="2238">
        <f>Overview!$C$25</f>
        <v>0</v>
      </c>
      <c r="G15" s="2238"/>
      <c r="H15" s="2238"/>
    </row>
    <row r="16" spans="1:10" ht="15">
      <c r="A16" s="699"/>
      <c r="D16" s="701" t="s">
        <v>2960</v>
      </c>
      <c r="F16" s="702">
        <f>Overview!C13</f>
        <v>48</v>
      </c>
      <c r="G16" s="703" t="s">
        <v>3324</v>
      </c>
      <c r="H16" s="1391">
        <f>Overview!E13</f>
        <v>48</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f>Overview!E16</f>
        <v>0</v>
      </c>
    </row>
    <row r="20" spans="1:18" ht="15">
      <c r="A20" s="699"/>
      <c r="D20" s="701"/>
    </row>
    <row r="21" spans="1:18" ht="15">
      <c r="A21" s="704" t="s">
        <v>2961</v>
      </c>
    </row>
    <row r="22" spans="1:18" ht="111.75" customHeight="1">
      <c r="A22" s="2225" t="s">
        <v>3521</v>
      </c>
      <c r="B22" s="2225"/>
      <c r="C22" s="2225"/>
      <c r="D22" s="2225"/>
      <c r="E22" s="2225"/>
      <c r="F22" s="2225"/>
      <c r="G22" s="2225"/>
      <c r="H22" s="2225"/>
      <c r="I22" s="2225"/>
      <c r="J22" s="2225"/>
      <c r="L22" s="2226" t="s">
        <v>3333</v>
      </c>
      <c r="M22" s="2226"/>
      <c r="N22" s="2226"/>
      <c r="O22" s="2226"/>
      <c r="P22" s="2226"/>
      <c r="Q22" s="2226"/>
      <c r="R22" s="2226"/>
    </row>
    <row r="23" spans="1:18" ht="0.75" hidden="1" customHeight="1">
      <c r="A23" s="1457"/>
      <c r="B23" s="1457"/>
      <c r="C23" s="1457"/>
      <c r="D23" s="1457"/>
      <c r="E23" s="1457"/>
      <c r="F23" s="1457"/>
      <c r="G23" s="1457"/>
      <c r="H23" s="1457"/>
      <c r="I23" s="1457"/>
      <c r="J23" s="1457"/>
    </row>
    <row r="24" spans="1:18" ht="9.75" hidden="1" customHeight="1">
      <c r="A24" s="2227"/>
      <c r="B24" s="2227"/>
      <c r="C24" s="2227"/>
      <c r="D24" s="2227"/>
      <c r="E24" s="2227"/>
      <c r="F24" s="2227"/>
      <c r="G24" s="2227"/>
      <c r="H24" s="2227"/>
      <c r="I24" s="2227"/>
      <c r="J24" s="2227"/>
    </row>
    <row r="25" spans="1:18" ht="10.5" hidden="1" customHeight="1">
      <c r="A25" s="2228"/>
      <c r="B25" s="2228"/>
      <c r="C25" s="2228"/>
      <c r="D25" s="2228"/>
      <c r="E25" s="2228"/>
      <c r="F25" s="2228"/>
      <c r="G25" s="2228"/>
      <c r="H25" s="2228"/>
      <c r="I25" s="2228"/>
      <c r="J25" s="2228"/>
    </row>
    <row r="26" spans="1:18" ht="15">
      <c r="A26" s="704" t="s">
        <v>2962</v>
      </c>
    </row>
    <row r="27" spans="1:18" ht="14.25" customHeight="1">
      <c r="A27" s="2229" t="s">
        <v>2963</v>
      </c>
      <c r="B27" s="2229"/>
      <c r="C27" s="2229"/>
      <c r="D27" s="2229"/>
      <c r="E27" s="2229"/>
      <c r="F27" s="2229"/>
      <c r="G27" s="2229"/>
      <c r="H27" s="2229"/>
      <c r="I27" s="2229"/>
      <c r="J27" s="2229"/>
    </row>
    <row r="28" spans="1:18" ht="14.25" customHeight="1">
      <c r="A28" s="2229"/>
      <c r="B28" s="2229"/>
      <c r="C28" s="2229"/>
      <c r="D28" s="2229"/>
      <c r="E28" s="2229"/>
      <c r="F28" s="2229"/>
      <c r="G28" s="2229"/>
      <c r="H28" s="2229"/>
      <c r="I28" s="2229"/>
      <c r="J28" s="2229"/>
    </row>
    <row r="29" spans="1:18" ht="6.75" customHeight="1">
      <c r="A29" s="2229"/>
      <c r="B29" s="2229"/>
      <c r="C29" s="2229"/>
      <c r="D29" s="2229"/>
      <c r="E29" s="2229"/>
      <c r="F29" s="2229"/>
      <c r="G29" s="2229"/>
      <c r="H29" s="2229"/>
      <c r="I29" s="2229"/>
      <c r="J29" s="2229"/>
    </row>
    <row r="30" spans="1:18" ht="14.25" customHeight="1">
      <c r="A30" s="2229"/>
      <c r="B30" s="2229"/>
      <c r="C30" s="2229"/>
      <c r="D30" s="2229"/>
      <c r="E30" s="2229"/>
      <c r="F30" s="2229"/>
      <c r="G30" s="2229"/>
      <c r="H30" s="2229"/>
      <c r="I30" s="2229"/>
      <c r="J30" s="2229"/>
    </row>
    <row r="31" spans="1:18" ht="14.25" customHeight="1">
      <c r="A31" s="2229"/>
      <c r="B31" s="2229"/>
      <c r="C31" s="2229"/>
      <c r="D31" s="2229"/>
      <c r="E31" s="2229"/>
      <c r="F31" s="2229"/>
      <c r="G31" s="2229"/>
      <c r="H31" s="2229"/>
      <c r="I31" s="2229"/>
      <c r="J31" s="2229"/>
    </row>
    <row r="32" spans="1:18" ht="54.75" customHeight="1">
      <c r="A32" s="2229"/>
      <c r="B32" s="2229"/>
      <c r="C32" s="2229"/>
      <c r="D32" s="2229"/>
      <c r="E32" s="2229"/>
      <c r="F32" s="2229"/>
      <c r="G32" s="2229"/>
      <c r="H32" s="2229"/>
      <c r="I32" s="2229"/>
      <c r="J32" s="2229"/>
    </row>
    <row r="33" spans="1:10" ht="0.75" hidden="1" customHeight="1">
      <c r="A33" s="2229"/>
      <c r="B33" s="2229"/>
      <c r="C33" s="2229"/>
      <c r="D33" s="2229"/>
      <c r="E33" s="2229"/>
      <c r="F33" s="2229"/>
      <c r="G33" s="2229"/>
      <c r="H33" s="2229"/>
      <c r="I33" s="2229"/>
      <c r="J33" s="2229"/>
    </row>
    <row r="34" spans="1:10" ht="3.75" hidden="1" customHeight="1">
      <c r="A34" s="2229"/>
      <c r="B34" s="2229"/>
      <c r="C34" s="2229"/>
      <c r="D34" s="2229"/>
      <c r="E34" s="2229"/>
      <c r="F34" s="2229"/>
      <c r="G34" s="2229"/>
      <c r="H34" s="2229"/>
      <c r="I34" s="2229"/>
      <c r="J34" s="2229"/>
    </row>
    <row r="35" spans="1:10" ht="5.25" customHeight="1">
      <c r="A35" s="1464"/>
      <c r="B35" s="1464"/>
      <c r="C35" s="1464"/>
      <c r="D35" s="1464"/>
      <c r="E35" s="1464"/>
      <c r="F35" s="1464"/>
      <c r="G35" s="1464"/>
      <c r="H35" s="1464"/>
      <c r="I35" s="1464"/>
      <c r="J35" s="1464"/>
    </row>
    <row r="36" spans="1:10" ht="19.5" customHeight="1">
      <c r="A36" s="2227" t="s">
        <v>2964</v>
      </c>
      <c r="B36" s="2227"/>
      <c r="C36" s="2227"/>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28" t="s">
        <v>4296</v>
      </c>
      <c r="B41" s="2228"/>
      <c r="C41" s="2228"/>
      <c r="D41" s="2228"/>
      <c r="E41" s="2228"/>
      <c r="F41" s="2228"/>
      <c r="G41" s="2228"/>
      <c r="H41" s="2228"/>
      <c r="I41" s="2228"/>
      <c r="J41" s="2228"/>
    </row>
    <row r="42" spans="1:10" ht="6" customHeight="1">
      <c r="A42" s="1463"/>
      <c r="B42" s="1463"/>
      <c r="C42" s="1463"/>
      <c r="D42" s="1463"/>
      <c r="E42" s="1463"/>
      <c r="F42" s="1463"/>
      <c r="G42" s="1463"/>
      <c r="H42" s="1463"/>
      <c r="I42" s="1463"/>
      <c r="J42" s="1463"/>
    </row>
    <row r="43" spans="1:10" ht="15">
      <c r="A43" s="704" t="s">
        <v>2966</v>
      </c>
    </row>
    <row r="44" spans="1:10" ht="33" customHeight="1">
      <c r="A44" s="2209" t="s">
        <v>4306</v>
      </c>
      <c r="B44" s="2215"/>
      <c r="C44" s="2215"/>
      <c r="D44" s="2215"/>
      <c r="E44" s="2215"/>
      <c r="F44" s="2215"/>
      <c r="G44" s="2215"/>
      <c r="H44" s="2215"/>
      <c r="I44" s="2215"/>
      <c r="J44" s="2209"/>
    </row>
    <row r="45" spans="1:10" ht="3" customHeight="1"/>
    <row r="46" spans="1:10" ht="72.75" customHeight="1">
      <c r="A46" s="2209" t="s">
        <v>4307</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4308</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4309</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43" t="s">
        <v>3334</v>
      </c>
      <c r="B52" s="2232"/>
      <c r="C52" s="2232"/>
      <c r="D52" s="2232"/>
      <c r="E52" s="2232"/>
      <c r="F52" s="2232"/>
      <c r="G52" s="2232"/>
      <c r="H52" s="2232"/>
      <c r="I52" s="2232"/>
      <c r="J52" s="1457"/>
    </row>
    <row r="53" spans="1:17" ht="3" customHeight="1">
      <c r="A53" s="1457"/>
      <c r="B53" s="1457"/>
      <c r="C53" s="1457"/>
      <c r="D53" s="1457"/>
      <c r="E53" s="1457"/>
      <c r="F53" s="1457"/>
      <c r="G53" s="1457"/>
      <c r="H53" s="1457"/>
      <c r="I53" s="1457"/>
      <c r="J53" s="1457"/>
    </row>
    <row r="54" spans="1:17" ht="62.25" customHeight="1">
      <c r="A54" s="2232" t="s">
        <v>4310</v>
      </c>
      <c r="B54" s="2232"/>
      <c r="C54" s="2232"/>
      <c r="D54" s="2232"/>
      <c r="E54" s="2232"/>
      <c r="F54" s="2232"/>
      <c r="G54" s="2232"/>
      <c r="H54" s="2232"/>
      <c r="I54" s="2232"/>
      <c r="J54" s="2232"/>
    </row>
    <row r="55" spans="1:17" ht="3" customHeight="1"/>
    <row r="56" spans="1:17" ht="73.5" customHeight="1">
      <c r="A56" s="2209" t="s">
        <v>4311</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5" t="s">
        <v>2970</v>
      </c>
      <c r="B59" s="2225"/>
      <c r="C59" s="2225"/>
      <c r="D59" s="2225"/>
      <c r="E59" s="2225"/>
      <c r="F59" s="2225"/>
      <c r="G59" s="2225"/>
      <c r="H59" s="2225"/>
      <c r="I59" s="2225"/>
      <c r="J59" s="2225"/>
      <c r="L59" s="706">
        <f>'Closing term sheet'!C133</f>
        <v>122670</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2" t="s">
        <v>3411</v>
      </c>
      <c r="B61" s="2232"/>
      <c r="C61" s="2232"/>
      <c r="D61" s="2232"/>
      <c r="E61" s="2232"/>
      <c r="F61" s="2232"/>
      <c r="G61" s="2232"/>
      <c r="H61" s="2232"/>
      <c r="I61" s="2232"/>
      <c r="J61" s="711"/>
      <c r="L61" s="712">
        <f>'Part III-Sources of Funds'!I49</f>
        <v>2507249</v>
      </c>
      <c r="M61" s="713">
        <f>'Part IV-A-Uses of Funds'!$J$175</f>
        <v>295000</v>
      </c>
      <c r="N61" s="714">
        <f>'Part IV-A-Uses of Funds'!N168</f>
        <v>0.85</v>
      </c>
      <c r="O61" s="712">
        <f>'Part III-Sources of Funds'!I50</f>
        <v>1327500</v>
      </c>
      <c r="P61" s="713">
        <f>M61</f>
        <v>295000</v>
      </c>
      <c r="Q61" s="714">
        <f>'Part IV-A-Uses of Funds'!Q168</f>
        <v>0.45</v>
      </c>
    </row>
    <row r="62" spans="1:17" ht="18.75" customHeight="1">
      <c r="A62" s="715" t="s">
        <v>2971</v>
      </c>
    </row>
    <row r="63" spans="1:17" ht="159.75" customHeight="1">
      <c r="A63" s="2232" t="s">
        <v>4312</v>
      </c>
      <c r="B63" s="2232"/>
      <c r="C63" s="2232"/>
      <c r="D63" s="2232"/>
      <c r="E63" s="2232"/>
      <c r="F63" s="2232"/>
      <c r="G63" s="2232"/>
      <c r="H63" s="2232"/>
      <c r="I63" s="2232"/>
      <c r="J63" s="2232"/>
      <c r="L63" s="716" t="str">
        <f>'Part VII-Pro Forma'!K67</f>
        <v/>
      </c>
      <c r="M63" s="2230" t="s">
        <v>3520</v>
      </c>
      <c r="N63" s="2231"/>
    </row>
    <row r="64" spans="1:17" ht="6" customHeight="1">
      <c r="A64" s="704"/>
    </row>
    <row r="65" spans="1:10" ht="15">
      <c r="A65" s="704" t="s">
        <v>2972</v>
      </c>
    </row>
    <row r="66" spans="1:10" ht="66.75" customHeight="1">
      <c r="A66" s="2232" t="s">
        <v>2973</v>
      </c>
      <c r="B66" s="2232"/>
      <c r="C66" s="2232"/>
      <c r="D66" s="2232"/>
      <c r="E66" s="2232"/>
      <c r="F66" s="2232"/>
      <c r="G66" s="2232"/>
      <c r="H66" s="2232"/>
      <c r="I66" s="2232"/>
      <c r="J66" s="2232"/>
    </row>
    <row r="67" spans="1:10" ht="36" customHeight="1">
      <c r="A67" s="2232" t="s">
        <v>2974</v>
      </c>
      <c r="B67" s="2232"/>
      <c r="C67" s="2232"/>
      <c r="D67" s="2232"/>
      <c r="E67" s="2232"/>
      <c r="F67" s="2232"/>
      <c r="G67" s="2232"/>
      <c r="H67" s="2232"/>
      <c r="I67" s="2232"/>
      <c r="J67" s="2232"/>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4524</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4" t="s">
        <v>2980</v>
      </c>
      <c r="B78" s="2235"/>
      <c r="C78" s="2235"/>
      <c r="D78" s="703"/>
      <c r="E78" s="703"/>
      <c r="F78" s="703"/>
      <c r="G78" s="703"/>
      <c r="H78" s="703"/>
      <c r="I78" s="703"/>
      <c r="J78" s="717"/>
    </row>
    <row r="79" spans="1:10" ht="41.25" customHeight="1">
      <c r="A79" s="2232" t="s">
        <v>4313</v>
      </c>
      <c r="B79" s="2236"/>
      <c r="C79" s="2236"/>
      <c r="D79" s="2236"/>
      <c r="E79" s="2236"/>
      <c r="F79" s="2236"/>
      <c r="G79" s="2236"/>
      <c r="H79" s="2236"/>
      <c r="I79" s="2236"/>
      <c r="J79" s="2236"/>
    </row>
    <row r="80" spans="1:10" ht="6" customHeight="1">
      <c r="A80" s="718"/>
      <c r="B80" s="703"/>
      <c r="C80" s="703"/>
      <c r="D80" s="703"/>
      <c r="E80" s="703"/>
      <c r="F80" s="703"/>
      <c r="G80" s="703"/>
      <c r="H80" s="703"/>
      <c r="I80" s="703"/>
      <c r="J80" s="717"/>
    </row>
    <row r="81" spans="1:15" ht="15">
      <c r="A81" s="704" t="s">
        <v>2981</v>
      </c>
    </row>
    <row r="82" spans="1:15" ht="139.5" customHeight="1">
      <c r="A82" s="2232" t="s">
        <v>2982</v>
      </c>
      <c r="B82" s="2232"/>
      <c r="C82" s="2232"/>
      <c r="D82" s="2232"/>
      <c r="E82" s="2232"/>
      <c r="F82" s="2232"/>
      <c r="G82" s="2232"/>
      <c r="H82" s="2232"/>
      <c r="I82" s="2232"/>
      <c r="J82" s="2232"/>
      <c r="L82" s="2237" t="s">
        <v>2983</v>
      </c>
      <c r="M82" s="2237"/>
      <c r="N82" s="2237"/>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2" t="s">
        <v>2985</v>
      </c>
      <c r="B85" s="2232"/>
      <c r="C85" s="2232"/>
      <c r="D85" s="2232"/>
      <c r="E85" s="2232"/>
      <c r="F85" s="2232"/>
      <c r="G85" s="2232"/>
      <c r="H85" s="2232"/>
      <c r="I85" s="2232"/>
      <c r="J85" s="2232"/>
      <c r="L85" s="2237" t="s">
        <v>2986</v>
      </c>
      <c r="M85" s="2237"/>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5" t="s">
        <v>2990</v>
      </c>
      <c r="B89" s="2215"/>
      <c r="C89" s="2215"/>
      <c r="D89" s="2209"/>
      <c r="E89" s="1457"/>
      <c r="F89" s="1457"/>
      <c r="G89" s="1457"/>
      <c r="H89" s="1457"/>
      <c r="I89" s="1457"/>
      <c r="J89" s="1457"/>
    </row>
    <row r="90" spans="1:15" ht="109.5" customHeight="1">
      <c r="A90" s="2240" t="s">
        <v>2991</v>
      </c>
      <c r="B90" s="2241"/>
      <c r="C90" s="2241"/>
      <c r="D90" s="2241"/>
      <c r="E90" s="2241"/>
      <c r="F90" s="2241"/>
      <c r="G90" s="2241"/>
      <c r="H90" s="2241"/>
      <c r="I90" s="2241"/>
      <c r="J90" s="2241"/>
    </row>
    <row r="91" spans="1:15" ht="11.25" customHeight="1">
      <c r="A91" s="704"/>
    </row>
    <row r="92" spans="1:15" ht="15">
      <c r="A92" s="704" t="s">
        <v>2992</v>
      </c>
    </row>
    <row r="93" spans="1:15" ht="122.25" customHeight="1">
      <c r="A93" s="2225" t="s">
        <v>2993</v>
      </c>
      <c r="B93" s="2225"/>
      <c r="C93" s="2225"/>
      <c r="D93" s="2225"/>
      <c r="E93" s="2225"/>
      <c r="F93" s="2225"/>
      <c r="G93" s="2225"/>
      <c r="H93" s="2225"/>
      <c r="I93" s="2225"/>
      <c r="J93" s="2225"/>
      <c r="L93" s="1395" t="str">
        <f>'Part VII-Pro Forma'!K67</f>
        <v/>
      </c>
      <c r="M93" s="2233" t="s">
        <v>2994</v>
      </c>
      <c r="N93" s="2233"/>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5" t="s">
        <v>2995</v>
      </c>
      <c r="B97" s="2215"/>
      <c r="C97" s="2215"/>
      <c r="D97" s="1457"/>
      <c r="E97" s="1457"/>
      <c r="F97" s="1457"/>
      <c r="G97" s="1457"/>
      <c r="H97" s="1457"/>
      <c r="I97" s="1457"/>
      <c r="J97" s="717"/>
    </row>
    <row r="98" spans="1:10" ht="37.5" customHeight="1">
      <c r="A98" s="2232" t="s">
        <v>2996</v>
      </c>
      <c r="B98" s="2232"/>
      <c r="C98" s="2232"/>
      <c r="D98" s="2232"/>
      <c r="E98" s="2232"/>
      <c r="F98" s="2232"/>
      <c r="G98" s="2232"/>
      <c r="H98" s="2232"/>
      <c r="I98" s="2232"/>
      <c r="J98" s="2232"/>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42" t="s">
        <v>3000</v>
      </c>
      <c r="B105" s="2242"/>
      <c r="C105" s="2242"/>
      <c r="D105" s="2242"/>
      <c r="E105" s="2242"/>
      <c r="F105" s="2242"/>
      <c r="G105" s="2242"/>
      <c r="H105" s="2242"/>
      <c r="I105" s="2242"/>
      <c r="J105" s="2242"/>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9" t="s">
        <v>4314</v>
      </c>
      <c r="B116" s="2239"/>
      <c r="C116" s="2239"/>
      <c r="D116" s="2239"/>
      <c r="E116" s="2239"/>
      <c r="H116" s="2239" t="s">
        <v>3004</v>
      </c>
      <c r="I116" s="2239"/>
      <c r="J116" s="2239"/>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Hillcrest Apartments</v>
      </c>
    </row>
    <row r="2" spans="1:15" ht="13.5" customHeight="1"/>
    <row r="3" spans="1:15" ht="13.5" customHeight="1">
      <c r="A3" s="699" t="s">
        <v>3067</v>
      </c>
      <c r="C3" s="698" t="s">
        <v>3068</v>
      </c>
      <c r="E3" s="784">
        <f>SUM('Part IV-A-Uses of Funds'!J149,'Part IV-A-Uses of Funds'!M149,'Part IV-A-Uses of Funds'!P149)</f>
        <v>3228834</v>
      </c>
      <c r="F3" s="1467" t="s">
        <v>3069</v>
      </c>
      <c r="H3" s="1440">
        <v>27.5</v>
      </c>
      <c r="I3" s="698" t="s">
        <v>2484</v>
      </c>
      <c r="K3" s="703" t="s">
        <v>3090</v>
      </c>
      <c r="M3" s="1467"/>
      <c r="O3" s="785"/>
    </row>
    <row r="4" spans="1:15" ht="13.5" customHeight="1">
      <c r="C4" s="698" t="s">
        <v>3578</v>
      </c>
      <c r="E4" s="784">
        <f>SUM('Part IV-A-Uses of Funds'!G85:H89)</f>
        <v>20000</v>
      </c>
      <c r="F4" s="1467" t="s">
        <v>4526</v>
      </c>
      <c r="H4" s="699">
        <f>'Part III-Sources of Funds'!M37</f>
        <v>0</v>
      </c>
      <c r="I4" s="698" t="s">
        <v>2484</v>
      </c>
      <c r="K4" s="786" t="s">
        <v>3335</v>
      </c>
      <c r="M4" s="1467"/>
    </row>
    <row r="5" spans="1:15" ht="13.5" customHeight="1">
      <c r="C5" s="698" t="s">
        <v>3579</v>
      </c>
      <c r="E5" s="784">
        <f>SUM('Part IV-A-Uses of Funds'!G96:H102)</f>
        <v>74500</v>
      </c>
      <c r="F5" s="1467" t="s">
        <v>4525</v>
      </c>
      <c r="H5" s="1440">
        <v>15</v>
      </c>
      <c r="I5" s="698" t="s">
        <v>2484</v>
      </c>
      <c r="K5" s="785">
        <f>-E6</f>
        <v>-3834749</v>
      </c>
    </row>
    <row r="6" spans="1:15" ht="13.5" customHeight="1">
      <c r="C6" s="698" t="s">
        <v>3070</v>
      </c>
      <c r="E6" s="787">
        <f>'Part III-Sources of Funds'!$I$49+'Part III-Sources of Funds'!$I$50</f>
        <v>3834749</v>
      </c>
      <c r="F6" s="1467" t="s">
        <v>3071</v>
      </c>
      <c r="H6" s="788">
        <v>0.35</v>
      </c>
      <c r="K6" s="785" t="e">
        <f>C24</f>
        <v>#VALUE!</v>
      </c>
      <c r="M6" s="698" t="s">
        <v>3072</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51333.262400000007</v>
      </c>
      <c r="D9" s="792">
        <f>'Part VII-Pro Forma'!C30</f>
        <v>54843.807648000016</v>
      </c>
      <c r="E9" s="792">
        <f>'Part VII-Pro Forma'!D30</f>
        <v>54223.773600960034</v>
      </c>
      <c r="F9" s="792">
        <f>'Part VII-Pro Forma'!E30</f>
        <v>53538.030766979173</v>
      </c>
      <c r="G9" s="792">
        <f>'Part VII-Pro Forma'!F30</f>
        <v>52784.367527138835</v>
      </c>
      <c r="H9" s="792">
        <f>'Part VII-Pro Forma'!G30</f>
        <v>51959.487306846189</v>
      </c>
      <c r="I9" s="792">
        <f>'Part VII-Pro Forma'!H30</f>
        <v>51060.005655022644</v>
      </c>
      <c r="K9" s="785" t="e">
        <f>F24</f>
        <v>#VALUE!</v>
      </c>
      <c r="N9" s="793" t="s">
        <v>3076</v>
      </c>
    </row>
    <row r="10" spans="1:15" ht="13.5" customHeight="1">
      <c r="A10" s="698" t="s">
        <v>3075</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-16800</v>
      </c>
      <c r="D13" s="1399">
        <f>'Part VII-Pro Forma'!C21</f>
        <v>-17304</v>
      </c>
      <c r="E13" s="1399">
        <f>'Part VII-Pro Forma'!D21</f>
        <v>-17823.12</v>
      </c>
      <c r="F13" s="1399">
        <f>'Part VII-Pro Forma'!E21</f>
        <v>-18357.813600000001</v>
      </c>
      <c r="G13" s="1399">
        <f>'Part VII-Pro Forma'!F21</f>
        <v>-18908.548007999998</v>
      </c>
      <c r="H13" s="1399">
        <f>'Part VII-Pro Forma'!G21</f>
        <v>-19475.804448239996</v>
      </c>
      <c r="I13" s="1399">
        <f>'Part VII-Pro Forma'!H21</f>
        <v>-20060.078581687198</v>
      </c>
      <c r="K13" s="785" t="e">
        <f>C44</f>
        <v>#VALUE!</v>
      </c>
      <c r="O13" s="790"/>
    </row>
    <row r="14" spans="1:15" ht="13.5" customHeight="1">
      <c r="A14" s="796" t="s">
        <v>3582</v>
      </c>
      <c r="B14" s="797"/>
      <c r="C14" s="1399">
        <f>'Part VII-Pro Forma'!B29</f>
        <v>-4069</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117412.14545454546</v>
      </c>
      <c r="D15" s="799">
        <f t="shared" si="0"/>
        <v>117412.14545454546</v>
      </c>
      <c r="E15" s="799">
        <f t="shared" si="0"/>
        <v>117412.14545454546</v>
      </c>
      <c r="F15" s="799">
        <f t="shared" si="0"/>
        <v>117412.14545454546</v>
      </c>
      <c r="G15" s="799">
        <f t="shared" si="0"/>
        <v>117412.14545454546</v>
      </c>
      <c r="H15" s="799">
        <f t="shared" si="0"/>
        <v>117412.14545454546</v>
      </c>
      <c r="I15" s="799">
        <f t="shared" si="0"/>
        <v>117412.14545454546</v>
      </c>
      <c r="K15" s="785" t="e">
        <f>E44</f>
        <v>#VALUE!</v>
      </c>
      <c r="O15" s="790"/>
    </row>
    <row r="16" spans="1:15" ht="13.5" customHeight="1">
      <c r="A16" s="798" t="s">
        <v>3080</v>
      </c>
      <c r="C16" s="799">
        <f>IF(C$8&lt;=$H$4,($E$4/$H$4),0)+IF(C$8&lt;=$H$5,($E$5/$H$5),0)</f>
        <v>4966.666666666667</v>
      </c>
      <c r="D16" s="799">
        <f t="shared" ref="D16:I16" si="1">IF(D$8&lt;=$H$4,($E$4/$H$4),0)+IF(D$8&lt;=$H$5,($E$5/$H$5),0)</f>
        <v>4966.666666666667</v>
      </c>
      <c r="E16" s="799">
        <f t="shared" si="1"/>
        <v>4966.666666666667</v>
      </c>
      <c r="F16" s="799">
        <f t="shared" si="1"/>
        <v>4966.666666666667</v>
      </c>
      <c r="G16" s="799">
        <f t="shared" si="1"/>
        <v>4966.666666666667</v>
      </c>
      <c r="H16" s="799">
        <f t="shared" si="1"/>
        <v>4966.666666666667</v>
      </c>
      <c r="I16" s="799">
        <f t="shared" si="1"/>
        <v>4966.666666666667</v>
      </c>
      <c r="K16" s="785" t="e">
        <f>F44</f>
        <v>#VALUE!</v>
      </c>
      <c r="M16" s="698" t="s">
        <v>3084</v>
      </c>
      <c r="O16" s="790">
        <f>E3</f>
        <v>3228834</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2348242.9090909092</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880591.09090909082</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295000</v>
      </c>
      <c r="D21" s="800">
        <f t="shared" ref="D21:I21" si="5">C21</f>
        <v>295000</v>
      </c>
      <c r="E21" s="800">
        <f t="shared" si="5"/>
        <v>295000</v>
      </c>
      <c r="F21" s="800">
        <f t="shared" si="5"/>
        <v>295000</v>
      </c>
      <c r="G21" s="800">
        <f t="shared" si="5"/>
        <v>295000</v>
      </c>
      <c r="H21" s="800">
        <f t="shared" si="5"/>
        <v>295000</v>
      </c>
      <c r="I21" s="800">
        <f t="shared" si="5"/>
        <v>295000</v>
      </c>
      <c r="J21" s="698" t="s">
        <v>245</v>
      </c>
      <c r="K21" s="785" t="e">
        <f>D64</f>
        <v>#VALUE!</v>
      </c>
      <c r="O21" s="790"/>
    </row>
    <row r="22" spans="1:17" ht="13.5" customHeight="1">
      <c r="A22" s="698" t="s">
        <v>3087</v>
      </c>
      <c r="C22" s="800">
        <f>C21</f>
        <v>295000</v>
      </c>
      <c r="D22" s="800">
        <f t="shared" ref="D22:I22" si="6">D21</f>
        <v>295000</v>
      </c>
      <c r="E22" s="800">
        <f t="shared" si="6"/>
        <v>295000</v>
      </c>
      <c r="F22" s="800">
        <f t="shared" si="6"/>
        <v>295000</v>
      </c>
      <c r="G22" s="800">
        <f t="shared" si="6"/>
        <v>295000</v>
      </c>
      <c r="H22" s="800">
        <f t="shared" si="6"/>
        <v>295000</v>
      </c>
      <c r="I22" s="800">
        <f t="shared" si="6"/>
        <v>295000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880591.09090909082</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-880591.09090909082</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3074</v>
      </c>
      <c r="C29" s="792">
        <f>'Part VII-Pro Forma'!I30</f>
        <v>50084.44722822374</v>
      </c>
      <c r="D29" s="792">
        <f>'Part VII-Pro Forma'!J30</f>
        <v>49027.24267669204</v>
      </c>
      <c r="E29" s="792">
        <f>'Part VII-Pro Forma'!K30</f>
        <v>47886.725429246711</v>
      </c>
      <c r="F29" s="792">
        <f>'Part VII-Pro Forma'!B60</f>
        <v>50658.128373823158</v>
      </c>
      <c r="G29" s="792">
        <f>'Part VII-Pro Forma'!C60</f>
        <v>49338.580430370792</v>
      </c>
      <c r="H29" s="792">
        <f>'Part VII-Pro Forma'!D60</f>
        <v>47923.103012721622</v>
      </c>
      <c r="I29" s="792">
        <f>'Part VII-Pro Forma'!E60</f>
        <v>46408.606375931704</v>
      </c>
      <c r="N29" s="803"/>
      <c r="O29" s="803"/>
    </row>
    <row r="30" spans="1:17" ht="13.5" customHeight="1">
      <c r="A30" s="698" t="s">
        <v>3075</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-176118.21818181817</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-20661.880939137816</v>
      </c>
      <c r="D33" s="1399">
        <f>'Part VII-Pro Forma'!J21</f>
        <v>-21281.737367311947</v>
      </c>
      <c r="E33" s="1399">
        <f>'Part VII-Pro Forma'!K21</f>
        <v>-21920.189488331307</v>
      </c>
      <c r="F33" s="1399">
        <f>'Part VII-Pro Forma'!B51</f>
        <v>-22577.795172981245</v>
      </c>
      <c r="G33" s="1399">
        <f>'Part VII-Pro Forma'!C51</f>
        <v>-23255.129028170682</v>
      </c>
      <c r="H33" s="1399">
        <f>'Part VII-Pro Forma'!D51</f>
        <v>-23952.782899015801</v>
      </c>
      <c r="I33" s="1399">
        <f>'Part VII-Pro Forma'!E51</f>
        <v>-24671.366385986275</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117412.14545454546</v>
      </c>
      <c r="D35" s="799">
        <f t="shared" si="8"/>
        <v>117412.14545454546</v>
      </c>
      <c r="E35" s="799">
        <f t="shared" si="8"/>
        <v>117412.14545454546</v>
      </c>
      <c r="F35" s="799">
        <f t="shared" si="8"/>
        <v>117412.14545454546</v>
      </c>
      <c r="G35" s="799">
        <f t="shared" si="8"/>
        <v>117412.14545454546</v>
      </c>
      <c r="H35" s="799">
        <f t="shared" si="8"/>
        <v>117412.14545454546</v>
      </c>
      <c r="I35" s="799">
        <f t="shared" si="8"/>
        <v>117412.14545454546</v>
      </c>
    </row>
    <row r="36" spans="1:15" ht="13.5" customHeight="1">
      <c r="A36" s="798" t="s">
        <v>3080</v>
      </c>
      <c r="C36" s="792">
        <f>IF(C$28&lt;=$H$4,($E$4/$H$4),0)+IF(C$28&lt;=$H$5,($E$5/$H$5),0)</f>
        <v>4966.666666666667</v>
      </c>
      <c r="D36" s="792">
        <f t="shared" ref="D36:I36" si="9">IF(D$28&lt;=$H$4,($E$4/$H$4),0)+IF(D$28&lt;=$H$5,($E$5/$H$5),0)</f>
        <v>4966.666666666667</v>
      </c>
      <c r="E36" s="792">
        <f t="shared" si="9"/>
        <v>4966.666666666667</v>
      </c>
      <c r="F36" s="792">
        <f t="shared" si="9"/>
        <v>4966.666666666667</v>
      </c>
      <c r="G36" s="792">
        <f t="shared" si="9"/>
        <v>4966.666666666667</v>
      </c>
      <c r="H36" s="792">
        <f t="shared" si="9"/>
        <v>4966.666666666667</v>
      </c>
      <c r="I36" s="792">
        <f t="shared" si="9"/>
        <v>4966.666666666667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295000</v>
      </c>
      <c r="D41" s="800">
        <f>C41</f>
        <v>295000</v>
      </c>
      <c r="E41" s="800">
        <f>D41</f>
        <v>295000</v>
      </c>
      <c r="F41" s="800">
        <v>0</v>
      </c>
      <c r="G41" s="800">
        <v>0</v>
      </c>
      <c r="H41" s="800">
        <v>0</v>
      </c>
      <c r="I41" s="800">
        <v>0</v>
      </c>
    </row>
    <row r="42" spans="1:15" ht="13.5" customHeight="1">
      <c r="A42" s="698" t="s">
        <v>3087</v>
      </c>
      <c r="C42" s="800">
        <f>C22</f>
        <v>295000</v>
      </c>
      <c r="D42" s="800">
        <f>C42</f>
        <v>295000</v>
      </c>
      <c r="E42" s="800">
        <f>D42</f>
        <v>295000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3074</v>
      </c>
      <c r="C49" s="792">
        <f>'Part VII-Pro Forma'!F60</f>
        <v>44790.885845494719</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-25411.507377565864</v>
      </c>
      <c r="D53" s="1399">
        <f>'Part VII-Pro Forma'!G51</f>
        <v>-26173.852598892841</v>
      </c>
      <c r="E53" s="1399">
        <f>'Part VII-Pro Forma'!H51</f>
        <v>-26959.068176859622</v>
      </c>
      <c r="F53" s="1399">
        <f>'Part VII-Pro Forma'!I51</f>
        <v>-27767.840222165411</v>
      </c>
      <c r="G53" s="1399">
        <f>'Part VII-Pro Forma'!J51</f>
        <v>-28600.875428830375</v>
      </c>
      <c r="H53" s="1399">
        <f>'Part VII-Pro Forma'!K51</f>
        <v>-29458.901691695286</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117412.14545454546</v>
      </c>
      <c r="D55" s="799">
        <f t="shared" si="14"/>
        <v>117412.14545454546</v>
      </c>
      <c r="E55" s="799">
        <f t="shared" si="14"/>
        <v>117412.14545454546</v>
      </c>
      <c r="F55" s="799">
        <f t="shared" si="14"/>
        <v>117412.14545454546</v>
      </c>
      <c r="G55" s="799">
        <f t="shared" si="14"/>
        <v>117412.14545454546</v>
      </c>
      <c r="H55" s="799">
        <f t="shared" si="14"/>
        <v>117412.14545454546</v>
      </c>
    </row>
    <row r="56" spans="1:10" ht="13.5" customHeight="1">
      <c r="A56" s="798" t="s">
        <v>3080</v>
      </c>
      <c r="C56" s="792">
        <f t="shared" ref="C56:H56" si="15">IF(C$48&lt;=$H$4,($E$4/$H$4),0)+IF(C$48&lt;=$H$5,($E$5/$H$5),0)</f>
        <v>4966.666666666667</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A5"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- 2018-032 Hillcrest Apartments, Dublin, Laurens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4522</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2379</v>
      </c>
      <c r="F5" s="306"/>
      <c r="G5" s="279" t="s">
        <v>445</v>
      </c>
      <c r="L5" s="931"/>
      <c r="P5" s="1180" t="s">
        <v>3902</v>
      </c>
    </row>
    <row r="6" spans="1:16" s="305" customFormat="1" ht="12" customHeight="1" thickBot="1">
      <c r="B6" s="1631" t="s">
        <v>4625</v>
      </c>
      <c r="C6" s="1631"/>
      <c r="D6" s="1631"/>
      <c r="E6" s="1433"/>
      <c r="F6" s="308"/>
      <c r="G6" s="279" t="s">
        <v>446</v>
      </c>
      <c r="H6" s="1569"/>
      <c r="I6" s="1569"/>
      <c r="J6" s="1569"/>
      <c r="O6" s="3578" t="s">
        <v>4722</v>
      </c>
      <c r="P6" s="3579"/>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621</v>
      </c>
      <c r="B9" s="307" t="s">
        <v>2390</v>
      </c>
      <c r="D9" s="280"/>
      <c r="E9" s="309"/>
      <c r="F9" s="310" t="s">
        <v>3829</v>
      </c>
      <c r="I9" s="1623">
        <f>'Part IV-A-Uses of Funds'!$J$175</f>
        <v>295000</v>
      </c>
      <c r="J9" s="1624"/>
      <c r="L9" s="305" t="s">
        <v>3830</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747</v>
      </c>
      <c r="B11" s="307" t="s">
        <v>2055</v>
      </c>
      <c r="F11" s="3580" t="s">
        <v>4629</v>
      </c>
      <c r="G11" s="3581"/>
      <c r="H11" s="3582"/>
      <c r="I11" s="3583" t="s">
        <v>3743</v>
      </c>
      <c r="J11" s="526" t="s">
        <v>3994</v>
      </c>
      <c r="K11" s="316"/>
      <c r="L11" s="1569"/>
      <c r="O11" s="3409" t="s">
        <v>4632</v>
      </c>
      <c r="P11" s="3410"/>
    </row>
    <row r="12" spans="1:16" s="305" customFormat="1" ht="12.75" customHeight="1">
      <c r="A12" s="501"/>
      <c r="B12" s="1630" t="s">
        <v>4523</v>
      </c>
      <c r="C12" s="1630"/>
      <c r="D12" s="1630"/>
      <c r="H12" s="1569"/>
      <c r="J12" s="527" t="s">
        <v>2750</v>
      </c>
      <c r="K12" s="277"/>
      <c r="M12" s="1569"/>
      <c r="O12" s="3584" t="s">
        <v>3013</v>
      </c>
      <c r="P12" s="3585"/>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6" t="s">
        <v>3013</v>
      </c>
      <c r="G14" s="1557" t="s">
        <v>3827</v>
      </c>
    </row>
    <row r="15" spans="1:16" s="305" customFormat="1" ht="12.75" customHeight="1">
      <c r="A15" s="501"/>
      <c r="B15" s="305" t="s">
        <v>3903</v>
      </c>
      <c r="D15" s="316"/>
      <c r="F15" s="3527" t="s">
        <v>3187</v>
      </c>
      <c r="G15" s="3528"/>
      <c r="H15" s="3528"/>
      <c r="I15" s="3528"/>
      <c r="J15" s="3528"/>
      <c r="K15" s="3529"/>
      <c r="L15" s="305" t="s">
        <v>3826</v>
      </c>
      <c r="O15" s="3515" t="s">
        <v>4561</v>
      </c>
      <c r="P15" s="3545"/>
    </row>
    <row r="16" spans="1:16" s="305" customFormat="1" ht="12.75" customHeight="1">
      <c r="A16" s="501"/>
      <c r="B16" s="305" t="s">
        <v>3828</v>
      </c>
      <c r="F16" s="3586" t="s">
        <v>3013</v>
      </c>
      <c r="G16" s="305" t="s">
        <v>3885</v>
      </c>
      <c r="H16" s="1569"/>
      <c r="I16" s="179"/>
      <c r="J16" s="527"/>
      <c r="M16" s="3189" t="s">
        <v>2904</v>
      </c>
      <c r="N16" s="3190"/>
      <c r="O16" s="3190"/>
      <c r="P16" s="3191"/>
    </row>
    <row r="17" spans="1:16" s="305" customFormat="1" ht="6" customHeight="1">
      <c r="I17" s="280"/>
      <c r="J17" s="280"/>
      <c r="K17" s="280"/>
      <c r="L17" s="280"/>
      <c r="M17" s="280"/>
      <c r="N17" s="280"/>
      <c r="O17" s="280"/>
      <c r="P17" s="280"/>
    </row>
    <row r="18" spans="1:16" s="305" customFormat="1" ht="13.15" customHeight="1">
      <c r="A18" s="311" t="s">
        <v>749</v>
      </c>
      <c r="B18" s="307" t="s">
        <v>4542</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3587" t="s">
        <v>4556</v>
      </c>
      <c r="G20" s="3588"/>
      <c r="H20" s="3589"/>
      <c r="I20" s="305" t="s">
        <v>1809</v>
      </c>
      <c r="J20" s="3587" t="s">
        <v>4557</v>
      </c>
      <c r="K20" s="3588"/>
      <c r="L20" s="3589"/>
      <c r="M20" s="340" t="s">
        <v>1995</v>
      </c>
      <c r="N20" s="3515" t="s">
        <v>4558</v>
      </c>
      <c r="O20" s="3544"/>
      <c r="P20" s="3545"/>
    </row>
    <row r="21" spans="1:16" s="305" customFormat="1" ht="13.15" customHeight="1">
      <c r="B21" s="310" t="s">
        <v>1996</v>
      </c>
      <c r="F21" s="3590" t="s">
        <v>4559</v>
      </c>
      <c r="G21" s="3591"/>
      <c r="H21" s="3591"/>
      <c r="I21" s="3592"/>
      <c r="J21" s="3591"/>
      <c r="K21" s="3592"/>
      <c r="L21" s="3593"/>
      <c r="M21" s="1627" t="s">
        <v>3913</v>
      </c>
      <c r="N21" s="1628"/>
      <c r="O21" s="1628"/>
      <c r="P21" s="1628"/>
    </row>
    <row r="22" spans="1:16" s="305" customFormat="1" ht="13.15" customHeight="1">
      <c r="B22" s="310" t="s">
        <v>623</v>
      </c>
      <c r="F22" s="3590" t="s">
        <v>1919</v>
      </c>
      <c r="G22" s="3591"/>
      <c r="H22" s="3594"/>
      <c r="I22" s="310" t="s">
        <v>1811</v>
      </c>
      <c r="J22" s="3595" t="s">
        <v>855</v>
      </c>
      <c r="M22" s="1627"/>
      <c r="N22" s="1627"/>
      <c r="O22" s="1627"/>
      <c r="P22" s="1627"/>
    </row>
    <row r="23" spans="1:16" s="305" customFormat="1" ht="13.15" customHeight="1">
      <c r="B23" s="1557" t="s">
        <v>2244</v>
      </c>
      <c r="F23" s="3596">
        <v>307470447</v>
      </c>
      <c r="G23" s="3597"/>
      <c r="H23" s="3598"/>
      <c r="I23" s="310" t="s">
        <v>1732</v>
      </c>
      <c r="J23" s="3599">
        <v>7068571414</v>
      </c>
      <c r="K23" s="3600"/>
      <c r="L23" s="1558" t="s">
        <v>1731</v>
      </c>
      <c r="M23" s="3443"/>
      <c r="N23" s="1557" t="s">
        <v>1733</v>
      </c>
      <c r="O23" s="3601">
        <v>7068571414</v>
      </c>
      <c r="P23" s="3600"/>
    </row>
    <row r="24" spans="1:16" s="305" customFormat="1" ht="13.15" customHeight="1">
      <c r="B24" s="1557" t="s">
        <v>1999</v>
      </c>
      <c r="F24" s="3602" t="s">
        <v>4560</v>
      </c>
      <c r="G24" s="3603"/>
      <c r="H24" s="3603"/>
      <c r="I24" s="3544"/>
      <c r="J24" s="3603"/>
      <c r="K24" s="3604"/>
      <c r="N24" s="1557" t="s">
        <v>1994</v>
      </c>
      <c r="O24" s="3605">
        <v>7067661095</v>
      </c>
      <c r="P24" s="3606"/>
    </row>
    <row r="25" spans="1:16" s="305" customFormat="1" ht="13.5" customHeight="1">
      <c r="A25" s="501"/>
      <c r="B25" s="307" t="s">
        <v>4541</v>
      </c>
      <c r="C25" s="314"/>
      <c r="D25" s="1566"/>
      <c r="E25" s="1566"/>
      <c r="F25" s="1566"/>
      <c r="H25" s="1569"/>
      <c r="I25" s="1566"/>
      <c r="J25" s="314"/>
      <c r="K25" s="1566"/>
      <c r="P25" s="315"/>
    </row>
    <row r="26" spans="1:16" s="305" customFormat="1" ht="13.15" customHeight="1">
      <c r="B26" s="305" t="s">
        <v>3914</v>
      </c>
      <c r="F26" s="3587"/>
      <c r="G26" s="3588"/>
      <c r="H26" s="3589"/>
      <c r="I26" s="305" t="s">
        <v>1809</v>
      </c>
      <c r="J26" s="3587"/>
      <c r="K26" s="3588"/>
      <c r="L26" s="3589"/>
      <c r="M26" s="340" t="s">
        <v>1995</v>
      </c>
      <c r="N26" s="3515"/>
      <c r="O26" s="3544"/>
      <c r="P26" s="3545"/>
    </row>
    <row r="27" spans="1:16" s="305" customFormat="1" ht="13.15" customHeight="1">
      <c r="B27" s="310" t="s">
        <v>1996</v>
      </c>
      <c r="F27" s="3590"/>
      <c r="G27" s="3591"/>
      <c r="H27" s="3591"/>
      <c r="I27" s="3592"/>
      <c r="J27" s="3591"/>
      <c r="K27" s="3592"/>
      <c r="L27" s="3593"/>
      <c r="M27" s="1627" t="s">
        <v>3913</v>
      </c>
      <c r="N27" s="1628"/>
      <c r="O27" s="1628"/>
      <c r="P27" s="1628"/>
    </row>
    <row r="28" spans="1:16" s="305" customFormat="1" ht="13.15" customHeight="1">
      <c r="B28" s="310" t="s">
        <v>623</v>
      </c>
      <c r="F28" s="3590"/>
      <c r="G28" s="3591"/>
      <c r="H28" s="3594"/>
      <c r="I28" s="310" t="s">
        <v>1811</v>
      </c>
      <c r="J28" s="3595"/>
      <c r="M28" s="1627"/>
      <c r="N28" s="1627"/>
      <c r="O28" s="1627"/>
      <c r="P28" s="1627"/>
    </row>
    <row r="29" spans="1:16" s="305" customFormat="1" ht="13.15" customHeight="1">
      <c r="B29" s="1557" t="s">
        <v>2244</v>
      </c>
      <c r="F29" s="3596"/>
      <c r="G29" s="3597"/>
      <c r="H29" s="3598"/>
      <c r="I29" s="310" t="s">
        <v>1732</v>
      </c>
      <c r="J29" s="3599"/>
      <c r="K29" s="3600"/>
      <c r="L29" s="1558" t="s">
        <v>1731</v>
      </c>
      <c r="M29" s="3443"/>
      <c r="N29" s="1557" t="s">
        <v>1733</v>
      </c>
      <c r="O29" s="3601"/>
      <c r="P29" s="3600"/>
    </row>
    <row r="30" spans="1:16" s="305" customFormat="1" ht="13.15" customHeight="1">
      <c r="B30" s="1557" t="s">
        <v>1999</v>
      </c>
      <c r="F30" s="3602"/>
      <c r="G30" s="3603"/>
      <c r="H30" s="3603"/>
      <c r="I30" s="3544"/>
      <c r="J30" s="3603"/>
      <c r="K30" s="3604"/>
      <c r="N30" s="1557" t="s">
        <v>1994</v>
      </c>
      <c r="O30" s="3605"/>
      <c r="P30" s="3606"/>
    </row>
    <row r="31" spans="1:16" s="305" customFormat="1" ht="6" customHeight="1">
      <c r="A31" s="501"/>
      <c r="B31" s="501"/>
      <c r="C31" s="314"/>
      <c r="D31" s="1566"/>
      <c r="E31" s="1566"/>
      <c r="F31" s="1566"/>
      <c r="H31" s="1569"/>
      <c r="I31" s="1566"/>
      <c r="J31" s="314"/>
      <c r="K31" s="1566"/>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3607" t="s">
        <v>4653</v>
      </c>
      <c r="G34" s="3608"/>
      <c r="H34" s="3608"/>
      <c r="I34" s="3608"/>
      <c r="J34" s="3608"/>
      <c r="K34" s="3609"/>
      <c r="L34" s="1557" t="s">
        <v>2207</v>
      </c>
      <c r="O34" s="3587" t="s">
        <v>3013</v>
      </c>
      <c r="P34" s="3589"/>
    </row>
    <row r="35" spans="1:16" s="305" customFormat="1" ht="13.15" customHeight="1">
      <c r="A35" s="317"/>
      <c r="B35" s="305" t="s">
        <v>2715</v>
      </c>
      <c r="D35" s="318"/>
      <c r="F35" s="3610" t="s">
        <v>4630</v>
      </c>
      <c r="G35" s="3611"/>
      <c r="H35" s="3611"/>
      <c r="I35" s="3611"/>
      <c r="J35" s="3611"/>
      <c r="K35" s="3612"/>
      <c r="L35" s="305" t="s">
        <v>3709</v>
      </c>
      <c r="O35" s="3613"/>
      <c r="P35" s="3594"/>
    </row>
    <row r="36" spans="1:16" s="305" customFormat="1" ht="13.15" customHeight="1">
      <c r="A36" s="317"/>
      <c r="B36" s="305" t="s">
        <v>2751</v>
      </c>
      <c r="D36" s="318"/>
      <c r="F36" s="3613" t="s">
        <v>4636</v>
      </c>
      <c r="G36" s="3591"/>
      <c r="H36" s="3591"/>
      <c r="I36" s="3592"/>
      <c r="J36" s="3591"/>
      <c r="K36" s="3594"/>
      <c r="L36" s="1557" t="s">
        <v>2065</v>
      </c>
      <c r="N36" s="3443" t="s">
        <v>3013</v>
      </c>
      <c r="O36" s="1569" t="s">
        <v>3708</v>
      </c>
      <c r="P36" s="3428"/>
    </row>
    <row r="37" spans="1:16" s="305" customFormat="1" ht="13.15" customHeight="1">
      <c r="A37" s="317"/>
      <c r="B37" s="305" t="s">
        <v>3765</v>
      </c>
      <c r="D37" s="318"/>
      <c r="F37" s="305" t="s">
        <v>3745</v>
      </c>
      <c r="G37" s="3614">
        <v>32.548544</v>
      </c>
      <c r="H37" s="3615"/>
      <c r="I37" s="1558" t="s">
        <v>3746</v>
      </c>
      <c r="J37" s="3614">
        <v>-82.916460000000001</v>
      </c>
      <c r="K37" s="3615"/>
      <c r="L37" s="1557" t="s">
        <v>2298</v>
      </c>
      <c r="O37" s="3616">
        <v>4.79</v>
      </c>
      <c r="P37" s="3617"/>
    </row>
    <row r="38" spans="1:16" s="305" customFormat="1" ht="13.15" customHeight="1">
      <c r="A38" s="501"/>
      <c r="B38" s="305" t="s">
        <v>623</v>
      </c>
      <c r="F38" s="3587" t="s">
        <v>1942</v>
      </c>
      <c r="G38" s="3618"/>
      <c r="H38" s="3619"/>
      <c r="I38" s="322" t="s">
        <v>2716</v>
      </c>
      <c r="J38" s="3596">
        <v>310210000</v>
      </c>
      <c r="K38" s="3598"/>
      <c r="L38" s="380" t="str">
        <f>IF(AND(NOT(F34=""),NOT(F38="Select from list"),J38=""),"Enter Zip!","")</f>
        <v/>
      </c>
      <c r="M38" s="320" t="s">
        <v>2925</v>
      </c>
      <c r="O38" s="3620" t="s">
        <v>4637</v>
      </c>
      <c r="P38" s="3621"/>
    </row>
    <row r="39" spans="1:16" s="305" customFormat="1" ht="13.15" customHeight="1">
      <c r="A39" s="501"/>
      <c r="B39" s="1566" t="s">
        <v>3591</v>
      </c>
      <c r="D39" s="1566"/>
      <c r="F39" s="3613" t="s">
        <v>4562</v>
      </c>
      <c r="G39" s="3592"/>
      <c r="H39" s="3593"/>
      <c r="I39" s="319" t="s">
        <v>624</v>
      </c>
      <c r="J39" s="3622" t="str">
        <f>IF($F$38="","",VLOOKUP($F$38,'DCA Underwriting Assumptions'!$T$155:$U$785,2,FALSE))</f>
        <v>Laurens</v>
      </c>
      <c r="K39" s="3623"/>
      <c r="M39" s="1557" t="s">
        <v>455</v>
      </c>
      <c r="N39" s="3624" t="s">
        <v>3010</v>
      </c>
      <c r="O39" s="1569" t="s">
        <v>456</v>
      </c>
      <c r="P39" s="3625" t="s">
        <v>3013</v>
      </c>
    </row>
    <row r="40" spans="1:16" s="305" customFormat="1" ht="13.15" customHeight="1">
      <c r="A40" s="501"/>
      <c r="B40" s="307"/>
      <c r="C40" s="305" t="s">
        <v>1569</v>
      </c>
      <c r="F40" s="3626" t="s">
        <v>3010</v>
      </c>
      <c r="G40" s="1634" t="s">
        <v>2798</v>
      </c>
      <c r="H40" s="1635"/>
      <c r="I40" s="533" t="str">
        <f>IF($J$39="","",IF(VLOOKUP($J$39,'DCA Underwriting Assumptions'!G155:M314,7,FALSE)="Rural","Yes",IF(VLOOKUP($J$39,'DCA Underwriting Assumptions'!G155:M314,7,FALSE)="Urban","No","")))</f>
        <v>Yes</v>
      </c>
      <c r="J40" s="1558" t="s">
        <v>2818</v>
      </c>
      <c r="K40" s="1558" t="str">
        <f>IF(OR(F40="Yes",I40="Yes"),"Rural","Urban")</f>
        <v>Rural</v>
      </c>
      <c r="M40" s="1557" t="s">
        <v>2627</v>
      </c>
      <c r="N40" s="436" t="str">
        <f>VLOOKUP($J$39,'DCA Underwriting Assumptions'!$G$155:$J$314,4)</f>
        <v>Non-MSA</v>
      </c>
      <c r="O40" s="3627" t="str">
        <f>IF($F$38="","",VLOOKUP($J$39,'DCA Underwriting Assumptions'!$G$155:$L$314,3,FALSE))</f>
        <v>Laurens Co.</v>
      </c>
      <c r="P40" s="3628"/>
    </row>
    <row r="41" spans="1:16" s="305" customFormat="1" ht="6" customHeight="1">
      <c r="A41" s="501"/>
      <c r="B41" s="307"/>
      <c r="C41" s="307"/>
      <c r="I41" s="310"/>
      <c r="J41" s="1566"/>
      <c r="L41" s="1577"/>
      <c r="M41" s="1577"/>
      <c r="N41" s="1577"/>
      <c r="O41" s="1577"/>
      <c r="P41" s="1577"/>
    </row>
    <row r="42" spans="1:16" s="305" customFormat="1" ht="13.15" customHeight="1">
      <c r="A42" s="501"/>
      <c r="C42" s="305" t="s">
        <v>2760</v>
      </c>
      <c r="F42" s="1636" t="s">
        <v>2779</v>
      </c>
      <c r="G42" s="1636"/>
      <c r="H42" s="1637" t="s">
        <v>743</v>
      </c>
      <c r="I42" s="1637"/>
      <c r="J42" s="1637" t="s">
        <v>744</v>
      </c>
      <c r="K42" s="1637"/>
      <c r="L42" s="520" t="s">
        <v>2717</v>
      </c>
    </row>
    <row r="43" spans="1:16" s="305" customFormat="1" ht="13.15" customHeight="1">
      <c r="A43" s="501"/>
      <c r="B43" s="305" t="s">
        <v>2778</v>
      </c>
      <c r="D43" s="307"/>
      <c r="F43" s="3629">
        <v>12</v>
      </c>
      <c r="G43" s="3630"/>
      <c r="H43" s="3629">
        <v>20</v>
      </c>
      <c r="I43" s="3630"/>
      <c r="J43" s="3629">
        <v>150</v>
      </c>
      <c r="K43" s="3630"/>
      <c r="L43" s="516" t="s">
        <v>1294</v>
      </c>
      <c r="N43" s="1632" t="s">
        <v>1295</v>
      </c>
      <c r="O43" s="1632"/>
      <c r="P43" s="1632"/>
    </row>
    <row r="44" spans="1:16" s="305" customFormat="1" ht="12.75" customHeight="1">
      <c r="A44" s="501"/>
      <c r="B44" s="310" t="s">
        <v>745</v>
      </c>
      <c r="F44" s="3631"/>
      <c r="G44" s="3632"/>
      <c r="H44" s="3631"/>
      <c r="I44" s="3632"/>
      <c r="J44" s="3631"/>
      <c r="K44" s="3632"/>
      <c r="L44" s="516" t="s">
        <v>2777</v>
      </c>
      <c r="N44" s="1633" t="s">
        <v>2776</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642</v>
      </c>
      <c r="F46" s="3633" t="s">
        <v>4631</v>
      </c>
      <c r="G46" s="3634"/>
      <c r="H46" s="3634"/>
      <c r="I46" s="3635"/>
      <c r="J46" s="3634"/>
      <c r="K46" s="3636"/>
      <c r="L46" s="930" t="s">
        <v>2721</v>
      </c>
      <c r="M46" s="3515" t="s">
        <v>4635</v>
      </c>
      <c r="N46" s="3544"/>
      <c r="O46" s="3544"/>
      <c r="P46" s="3545"/>
    </row>
    <row r="47" spans="1:16" s="305" customFormat="1" ht="13.15" customHeight="1">
      <c r="A47" s="501"/>
      <c r="B47" s="305" t="s">
        <v>643</v>
      </c>
      <c r="F47" s="3637" t="s">
        <v>4633</v>
      </c>
      <c r="G47" s="3638"/>
      <c r="H47" s="3639"/>
      <c r="I47" s="1559" t="s">
        <v>1995</v>
      </c>
      <c r="J47" s="3610" t="s">
        <v>4563</v>
      </c>
      <c r="K47" s="3612"/>
      <c r="L47" s="930"/>
    </row>
    <row r="48" spans="1:16" s="305" customFormat="1" ht="13.15" customHeight="1">
      <c r="A48" s="501"/>
      <c r="B48" s="305" t="s">
        <v>1996</v>
      </c>
      <c r="F48" s="3640" t="s">
        <v>4634</v>
      </c>
      <c r="G48" s="3641"/>
      <c r="H48" s="3642"/>
      <c r="I48" s="3634"/>
      <c r="J48" s="3641"/>
      <c r="K48" s="3643"/>
      <c r="L48" s="341" t="s">
        <v>623</v>
      </c>
      <c r="M48" s="3644" t="s">
        <v>1942</v>
      </c>
      <c r="N48" s="3645"/>
      <c r="O48" s="3645"/>
      <c r="P48" s="3646"/>
    </row>
    <row r="49" spans="1:19" s="305" customFormat="1" ht="13.15" customHeight="1">
      <c r="A49" s="501"/>
      <c r="B49" s="1557" t="s">
        <v>2244</v>
      </c>
      <c r="F49" s="3647">
        <v>310400000</v>
      </c>
      <c r="G49" s="3648"/>
      <c r="H49" s="1558" t="s">
        <v>1997</v>
      </c>
      <c r="I49" s="3649">
        <v>4782731620</v>
      </c>
      <c r="J49" s="3650"/>
      <c r="K49" s="3651"/>
      <c r="L49" s="310" t="s">
        <v>1812</v>
      </c>
      <c r="M49" s="3652"/>
      <c r="N49" s="3653"/>
      <c r="O49" s="3653"/>
      <c r="P49" s="3654"/>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1806</v>
      </c>
      <c r="B52" s="307" t="s">
        <v>1486</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1998</v>
      </c>
      <c r="C54" s="307" t="s">
        <v>724</v>
      </c>
      <c r="I54" s="1566"/>
      <c r="J54" s="1566"/>
      <c r="K54" s="517"/>
      <c r="L54" s="1566"/>
      <c r="M54" s="519"/>
      <c r="N54" s="519"/>
      <c r="O54" s="519"/>
      <c r="P54" s="519"/>
      <c r="Q54" s="1569"/>
    </row>
    <row r="55" spans="1:19" ht="13.15" customHeight="1">
      <c r="B55" s="501"/>
      <c r="C55" s="305" t="s">
        <v>2310</v>
      </c>
      <c r="D55" s="305"/>
      <c r="E55" s="305"/>
      <c r="H55" s="1170">
        <f>'Part VI-Revenues &amp; Expenses'!$O$74</f>
        <v>0</v>
      </c>
      <c r="K55" s="310" t="s">
        <v>3700</v>
      </c>
      <c r="L55" s="305"/>
      <c r="M55" s="991" t="s">
        <v>3699</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48</v>
      </c>
      <c r="I57" s="502" t="s">
        <v>2930</v>
      </c>
      <c r="K57" s="305" t="s">
        <v>350</v>
      </c>
      <c r="P57" s="3655">
        <v>35065</v>
      </c>
      <c r="Q57" s="1569"/>
    </row>
    <row r="58" spans="1:19" s="305" customFormat="1" ht="3.6" customHeight="1">
      <c r="A58" s="501"/>
      <c r="P58" s="1566"/>
    </row>
    <row r="59" spans="1:19" s="305" customFormat="1">
      <c r="A59" s="501"/>
      <c r="B59" s="501" t="s">
        <v>2000</v>
      </c>
      <c r="C59" s="307" t="s">
        <v>2311</v>
      </c>
      <c r="H59" s="3656"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756</v>
      </c>
      <c r="C61" s="316" t="s">
        <v>2291</v>
      </c>
      <c r="D61" s="1566"/>
      <c r="I61" s="1570" t="s">
        <v>3587</v>
      </c>
      <c r="J61" s="317" t="s">
        <v>2130</v>
      </c>
      <c r="K61" s="327" t="s">
        <v>2317</v>
      </c>
      <c r="M61" s="1566"/>
      <c r="N61" s="1566"/>
      <c r="O61" s="1566"/>
      <c r="P61" s="1569"/>
      <c r="Q61" s="1569"/>
      <c r="R61" s="1569"/>
      <c r="S61" s="1566"/>
    </row>
    <row r="62" spans="1:19" s="305" customFormat="1" ht="13.15" customHeight="1">
      <c r="A62" s="501"/>
      <c r="B62" s="1561"/>
      <c r="C62" s="314" t="s">
        <v>2292</v>
      </c>
      <c r="D62" s="1566"/>
      <c r="E62" s="1566"/>
      <c r="H62" s="679">
        <f>SUM(H63:H64)</f>
        <v>48</v>
      </c>
      <c r="I62" s="679">
        <f>SUM(I63:I64)</f>
        <v>0</v>
      </c>
      <c r="J62" s="501"/>
      <c r="K62" s="314" t="s">
        <v>2790</v>
      </c>
      <c r="M62" s="1566"/>
      <c r="N62" s="1566"/>
      <c r="O62" s="1566"/>
      <c r="P62" s="897">
        <f>'Part VI-Revenues &amp; Expenses'!$O$115</f>
        <v>39285</v>
      </c>
    </row>
    <row r="63" spans="1:19" s="305" customFormat="1" ht="13.15" customHeight="1">
      <c r="A63" s="501"/>
      <c r="B63" s="324"/>
      <c r="D63" s="329" t="s">
        <v>387</v>
      </c>
      <c r="E63" s="1566"/>
      <c r="H63" s="897">
        <f>'Part VI-Revenues &amp; Expenses'!$O$57</f>
        <v>8</v>
      </c>
      <c r="I63" s="897">
        <f>'Part VI-Revenues &amp; Expenses'!$O$65</f>
        <v>0</v>
      </c>
      <c r="K63" s="314" t="s">
        <v>2791</v>
      </c>
      <c r="M63" s="1566"/>
      <c r="N63" s="1566"/>
      <c r="O63" s="1566"/>
      <c r="P63" s="1173">
        <f>'Part VI-Revenues &amp; Expenses'!$O$116</f>
        <v>0</v>
      </c>
    </row>
    <row r="64" spans="1:19" s="305" customFormat="1" ht="13.15" customHeight="1">
      <c r="A64" s="501"/>
      <c r="D64" s="329" t="s">
        <v>1834</v>
      </c>
      <c r="E64" s="329"/>
      <c r="H64" s="898">
        <f>'Part VI-Revenues &amp; Expenses'!$O$56</f>
        <v>40</v>
      </c>
      <c r="I64" s="898">
        <f>'Part VI-Revenues &amp; Expenses'!$O$64</f>
        <v>0</v>
      </c>
      <c r="K64" s="314" t="s">
        <v>2792</v>
      </c>
      <c r="M64" s="1566"/>
      <c r="N64" s="1566"/>
      <c r="O64" s="1566"/>
      <c r="P64" s="897">
        <f>P62+P63</f>
        <v>39285</v>
      </c>
    </row>
    <row r="65" spans="1:16" s="305" customFormat="1" ht="13.15" customHeight="1">
      <c r="A65" s="501"/>
      <c r="C65" s="314" t="s">
        <v>255</v>
      </c>
      <c r="D65" s="1566"/>
      <c r="E65" s="1566"/>
      <c r="H65" s="328">
        <f>'Part VI-Revenues &amp; Expenses'!$O$59</f>
        <v>0</v>
      </c>
      <c r="J65" s="501"/>
      <c r="K65" s="314" t="s">
        <v>2793</v>
      </c>
      <c r="M65" s="1566"/>
      <c r="N65" s="1566"/>
      <c r="O65" s="1566"/>
      <c r="P65" s="898">
        <f>'Part VI-Revenues &amp; Expenses'!$O$118</f>
        <v>0</v>
      </c>
    </row>
    <row r="66" spans="1:16" s="305" customFormat="1" ht="13.15" customHeight="1">
      <c r="A66" s="501"/>
      <c r="C66" s="314" t="s">
        <v>2422</v>
      </c>
      <c r="D66" s="1566"/>
      <c r="E66" s="1566"/>
      <c r="H66" s="897">
        <f>H62+H65</f>
        <v>48</v>
      </c>
      <c r="J66" s="501"/>
      <c r="K66" s="314" t="s">
        <v>1431</v>
      </c>
      <c r="M66" s="1566"/>
      <c r="N66" s="1566"/>
      <c r="O66" s="1566"/>
      <c r="P66" s="328">
        <f>+P64+P65</f>
        <v>39285</v>
      </c>
    </row>
    <row r="67" spans="1:16" s="305" customFormat="1" ht="13.15" customHeight="1">
      <c r="A67" s="501"/>
      <c r="C67" s="314" t="s">
        <v>2423</v>
      </c>
      <c r="D67" s="1566"/>
      <c r="E67" s="1566"/>
      <c r="H67" s="898">
        <f>'Part VI-Revenues &amp; Expenses'!$O$61</f>
        <v>0</v>
      </c>
      <c r="J67" s="501"/>
    </row>
    <row r="68" spans="1:16" s="305" customFormat="1" ht="13.15" customHeight="1">
      <c r="A68" s="501"/>
      <c r="C68" s="314" t="s">
        <v>1805</v>
      </c>
      <c r="D68" s="1566"/>
      <c r="E68" s="1566"/>
      <c r="H68" s="328">
        <f>+H66+H67</f>
        <v>48</v>
      </c>
      <c r="J68" s="1566"/>
    </row>
    <row r="69" spans="1:16" s="305" customFormat="1" ht="3" customHeight="1">
      <c r="A69" s="501"/>
      <c r="I69" s="1569"/>
      <c r="L69" s="1569"/>
      <c r="M69" s="1569"/>
      <c r="N69" s="1566"/>
      <c r="P69" s="315"/>
    </row>
    <row r="70" spans="1:16" s="305" customFormat="1" ht="13.15" customHeight="1">
      <c r="A70" s="501"/>
      <c r="B70" s="501" t="s">
        <v>1747</v>
      </c>
      <c r="C70" s="316" t="s">
        <v>2312</v>
      </c>
      <c r="D70" s="329" t="s">
        <v>2011</v>
      </c>
      <c r="G70" s="1566"/>
      <c r="H70" s="3657">
        <v>8</v>
      </c>
      <c r="K70" s="314" t="s">
        <v>4106</v>
      </c>
      <c r="O70" s="1566"/>
      <c r="P70" s="3658">
        <v>900</v>
      </c>
    </row>
    <row r="71" spans="1:16" s="305" customFormat="1" ht="13.15" customHeight="1">
      <c r="A71" s="501"/>
      <c r="B71" s="501"/>
      <c r="D71" s="1561" t="s">
        <v>2012</v>
      </c>
      <c r="H71" s="3659">
        <v>1</v>
      </c>
      <c r="I71" s="1566"/>
      <c r="K71" s="314" t="s">
        <v>254</v>
      </c>
      <c r="O71" s="1566"/>
      <c r="P71" s="328">
        <f>+P66+P70</f>
        <v>40185</v>
      </c>
    </row>
    <row r="72" spans="1:16" s="305" customFormat="1" ht="13.15" customHeight="1">
      <c r="A72" s="501"/>
      <c r="B72" s="501"/>
      <c r="D72" s="1561" t="s">
        <v>2013</v>
      </c>
      <c r="H72" s="328">
        <f>+H70+H71</f>
        <v>9</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1748</v>
      </c>
      <c r="C74" s="316" t="s">
        <v>2860</v>
      </c>
      <c r="D74" s="1566"/>
      <c r="E74" s="1566"/>
      <c r="F74" s="1566"/>
      <c r="G74" s="1566"/>
      <c r="H74" s="3658">
        <v>93</v>
      </c>
      <c r="K74" s="1639" t="s">
        <v>3886</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534</v>
      </c>
      <c r="B76" s="330" t="s">
        <v>1201</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1998</v>
      </c>
      <c r="C78" s="277" t="s">
        <v>2708</v>
      </c>
      <c r="D78" s="1560"/>
      <c r="E78" s="1560"/>
      <c r="F78" s="1566"/>
      <c r="G78" s="1569"/>
      <c r="H78" s="3660" t="s">
        <v>2931</v>
      </c>
      <c r="I78" s="3661"/>
      <c r="K78" s="1638" t="s">
        <v>1784</v>
      </c>
      <c r="L78" s="1638"/>
      <c r="M78" s="3515"/>
      <c r="N78" s="3544"/>
      <c r="O78" s="3544"/>
      <c r="P78" s="3545"/>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3908</v>
      </c>
      <c r="I80" s="1641"/>
      <c r="K80" s="331" t="s">
        <v>2931</v>
      </c>
      <c r="L80" s="3657"/>
      <c r="M80" s="331" t="s">
        <v>2932</v>
      </c>
      <c r="N80" s="3657"/>
      <c r="P80" s="318" t="s">
        <v>3910</v>
      </c>
    </row>
    <row r="81" spans="1:16" s="305" customFormat="1" ht="13.15" customHeight="1">
      <c r="A81" s="501"/>
      <c r="B81" s="501"/>
      <c r="D81" s="1557"/>
      <c r="E81" s="1560"/>
      <c r="H81" s="1641"/>
      <c r="I81" s="1641"/>
      <c r="K81" s="318" t="s">
        <v>2933</v>
      </c>
      <c r="L81" s="3659"/>
      <c r="M81" s="318" t="s">
        <v>3909</v>
      </c>
      <c r="N81" s="3659"/>
      <c r="P81" s="3662"/>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2000</v>
      </c>
      <c r="C83" s="316" t="s">
        <v>1422</v>
      </c>
      <c r="D83" s="1566"/>
      <c r="E83" s="329"/>
      <c r="F83" s="1561" t="s">
        <v>803</v>
      </c>
      <c r="H83" s="328">
        <f>'Part VIII-Threshold Criteria'!K301</f>
        <v>3</v>
      </c>
      <c r="K83" s="1638" t="s">
        <v>524</v>
      </c>
      <c r="L83" s="1638"/>
      <c r="N83" s="332">
        <f>IF('Part VI-Revenues &amp; Expenses'!$O$62=0,0,H83/'Part VI-Revenues &amp; Expenses'!$O$62)</f>
        <v>6.25E-2</v>
      </c>
      <c r="O83" s="318" t="s">
        <v>3723</v>
      </c>
      <c r="P83" s="1002">
        <f>'DCA Underwriting Assumptions'!$Q$136</f>
        <v>0.05</v>
      </c>
    </row>
    <row r="84" spans="1:16" s="305" customFormat="1" ht="12.75" customHeight="1">
      <c r="A84" s="501"/>
      <c r="B84" s="501"/>
      <c r="D84" s="1561" t="s">
        <v>2858</v>
      </c>
      <c r="E84" s="1561"/>
      <c r="F84" s="1561" t="s">
        <v>803</v>
      </c>
      <c r="H84" s="328">
        <f>'Part VIII-Threshold Criteria'!K303</f>
        <v>2</v>
      </c>
      <c r="K84" s="1566" t="s">
        <v>2859</v>
      </c>
      <c r="L84" s="1566"/>
      <c r="N84" s="332">
        <f>IF(H83=0,0,H84/H83)</f>
        <v>0.66666666666666663</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756</v>
      </c>
      <c r="C86" s="316" t="s">
        <v>1857</v>
      </c>
      <c r="D86" s="329"/>
      <c r="E86" s="329"/>
      <c r="F86" s="1561" t="s">
        <v>803</v>
      </c>
      <c r="H86" s="328">
        <f>'Part VIII-Threshold Criteria'!K305</f>
        <v>1</v>
      </c>
      <c r="K86" s="1638" t="s">
        <v>524</v>
      </c>
      <c r="L86" s="1638"/>
      <c r="N86" s="332">
        <f>IF('Part VI-Revenues &amp; Expenses'!$O$62=0,0,H86/'Part VI-Revenues &amp; Expenses'!$O$62)</f>
        <v>2.0833333333333332E-2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779</v>
      </c>
      <c r="B88" s="1560" t="s">
        <v>2392</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1998</v>
      </c>
      <c r="C90" s="277" t="s">
        <v>2391</v>
      </c>
      <c r="D90" s="1561"/>
      <c r="E90" s="1561"/>
      <c r="F90" s="1561"/>
      <c r="H90" s="3663" t="s">
        <v>877</v>
      </c>
      <c r="I90" s="3664"/>
      <c r="J90" s="3665"/>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2000</v>
      </c>
      <c r="C92" s="307" t="s">
        <v>1545</v>
      </c>
      <c r="K92" s="310" t="s">
        <v>876</v>
      </c>
      <c r="N92" s="334"/>
      <c r="P92" s="3656" t="s">
        <v>3013</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2056</v>
      </c>
      <c r="D94" s="1561"/>
    </row>
    <row r="95" spans="1:16" s="305" customFormat="1" ht="3" customHeight="1">
      <c r="A95" s="501"/>
      <c r="B95" s="501"/>
      <c r="D95" s="1561"/>
      <c r="N95" s="1566"/>
      <c r="P95" s="315"/>
    </row>
    <row r="96" spans="1:16" s="305" customFormat="1" ht="13.15" customHeight="1">
      <c r="A96" s="333"/>
      <c r="B96" s="501" t="s">
        <v>1998</v>
      </c>
      <c r="C96" s="307" t="s">
        <v>2725</v>
      </c>
      <c r="F96" s="329" t="s">
        <v>2616</v>
      </c>
      <c r="H96" s="3656"/>
      <c r="K96" s="329" t="s">
        <v>3933</v>
      </c>
      <c r="L96" s="3656"/>
      <c r="O96" s="312" t="s">
        <v>3927</v>
      </c>
      <c r="P96" s="3656" t="s">
        <v>3010</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2000</v>
      </c>
      <c r="C98" s="307" t="s">
        <v>2726</v>
      </c>
      <c r="F98" s="1557" t="s">
        <v>2695</v>
      </c>
      <c r="H98" s="3656"/>
      <c r="I98" s="496" t="s">
        <v>2727</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2800</v>
      </c>
      <c r="D100" s="1561"/>
      <c r="H100" s="3515" t="s">
        <v>2615</v>
      </c>
      <c r="I100" s="3545"/>
      <c r="J100" s="1569"/>
    </row>
    <row r="101" spans="1:16" s="305" customFormat="1" ht="4.5" customHeight="1">
      <c r="A101" s="501"/>
      <c r="D101" s="322"/>
      <c r="E101" s="1566"/>
      <c r="I101" s="322"/>
      <c r="J101" s="314"/>
      <c r="K101" s="1566"/>
      <c r="P101" s="315"/>
    </row>
    <row r="102" spans="1:16" s="305" customFormat="1" ht="13.15" customHeight="1">
      <c r="A102" s="333" t="s">
        <v>364</v>
      </c>
      <c r="B102" s="327" t="s">
        <v>1199</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556</v>
      </c>
      <c r="D104" s="1566"/>
      <c r="E104" s="3587"/>
      <c r="F104" s="3588"/>
      <c r="G104" s="3588"/>
      <c r="H104" s="3588"/>
      <c r="I104" s="3588"/>
      <c r="J104" s="3588"/>
      <c r="K104" s="3588"/>
      <c r="L104" s="3589"/>
      <c r="M104" s="1640" t="s">
        <v>557</v>
      </c>
      <c r="N104" s="1640"/>
      <c r="O104" s="3666"/>
      <c r="P104" s="3667"/>
    </row>
    <row r="105" spans="1:16" s="305" customFormat="1" ht="13.15" customHeight="1">
      <c r="C105" s="310" t="s">
        <v>1030</v>
      </c>
      <c r="D105" s="318"/>
      <c r="E105" s="3590"/>
      <c r="F105" s="3591"/>
      <c r="G105" s="3591"/>
      <c r="H105" s="3592"/>
      <c r="I105" s="3591"/>
      <c r="J105" s="3592"/>
      <c r="K105" s="3591"/>
      <c r="L105" s="3594"/>
      <c r="M105" s="1640" t="s">
        <v>815</v>
      </c>
      <c r="N105" s="1640"/>
      <c r="O105" s="3668"/>
      <c r="P105" s="3669"/>
    </row>
    <row r="106" spans="1:16" s="305" customFormat="1" ht="13.15" customHeight="1">
      <c r="C106" s="310" t="s">
        <v>623</v>
      </c>
      <c r="E106" s="3610"/>
      <c r="F106" s="3670"/>
      <c r="G106" s="3671"/>
      <c r="H106" s="1558" t="s">
        <v>1811</v>
      </c>
      <c r="I106" s="3672"/>
      <c r="J106" s="335" t="s">
        <v>2244</v>
      </c>
      <c r="K106" s="3673"/>
      <c r="L106" s="3674"/>
      <c r="M106" s="280" t="s">
        <v>3690</v>
      </c>
      <c r="N106" s="280"/>
      <c r="O106" s="3675"/>
      <c r="P106" s="3676"/>
    </row>
    <row r="107" spans="1:16" s="305" customFormat="1" ht="13.15" customHeight="1">
      <c r="C107" s="305" t="s">
        <v>2209</v>
      </c>
      <c r="E107" s="3610"/>
      <c r="F107" s="3670"/>
      <c r="G107" s="3671"/>
      <c r="H107" s="1039" t="s">
        <v>1995</v>
      </c>
      <c r="I107" s="3677"/>
      <c r="J107" s="3678"/>
      <c r="K107" s="3534"/>
      <c r="L107" s="1576" t="s">
        <v>1999</v>
      </c>
      <c r="M107" s="3587"/>
      <c r="N107" s="3679"/>
      <c r="O107" s="3680"/>
      <c r="P107" s="3681"/>
    </row>
    <row r="108" spans="1:16" s="305" customFormat="1" ht="13.15" customHeight="1">
      <c r="C108" s="310" t="s">
        <v>2208</v>
      </c>
      <c r="E108" s="3605"/>
      <c r="F108" s="3682"/>
      <c r="G108" s="3606"/>
      <c r="H108" s="1039" t="s">
        <v>1814</v>
      </c>
      <c r="I108" s="3605"/>
      <c r="J108" s="3683"/>
      <c r="K108" s="1558" t="s">
        <v>2721</v>
      </c>
      <c r="L108" s="3527"/>
      <c r="M108" s="3684"/>
      <c r="N108" s="3684"/>
      <c r="O108" s="3684"/>
      <c r="P108" s="3685"/>
    </row>
    <row r="109" spans="1:16" s="305" customFormat="1" ht="3" customHeight="1">
      <c r="A109" s="501"/>
      <c r="B109" s="501"/>
      <c r="G109" s="322"/>
      <c r="H109" s="1569"/>
      <c r="I109" s="1569"/>
      <c r="M109" s="315"/>
    </row>
    <row r="110" spans="1:16" s="305" customFormat="1" ht="13.15" customHeight="1">
      <c r="A110" s="333" t="s">
        <v>365</v>
      </c>
      <c r="B110" s="1560" t="s">
        <v>1681</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1998</v>
      </c>
      <c r="C114" s="1560" t="s">
        <v>1423</v>
      </c>
      <c r="D114" s="1561"/>
      <c r="E114" s="1561"/>
      <c r="F114" s="1569"/>
      <c r="G114" s="1569"/>
      <c r="H114" s="3686">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2000</v>
      </c>
      <c r="C116" s="1560" t="s">
        <v>418</v>
      </c>
      <c r="D116" s="1561"/>
      <c r="E116" s="1561"/>
      <c r="F116" s="1569"/>
      <c r="G116" s="1569"/>
      <c r="H116" s="3687">
        <v>1115156</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756</v>
      </c>
      <c r="C118" s="1560" t="s">
        <v>304</v>
      </c>
      <c r="D118" s="1561"/>
      <c r="E118" s="1561"/>
      <c r="F118" s="1569"/>
      <c r="G118" s="1569"/>
      <c r="H118" s="1569"/>
      <c r="I118" s="1569"/>
      <c r="J118" s="322"/>
      <c r="K118" s="1569"/>
      <c r="L118" s="1569"/>
      <c r="N118" s="1566"/>
      <c r="O118" s="1566"/>
    </row>
    <row r="119" spans="1:16" s="305" customFormat="1" ht="13.15" customHeight="1">
      <c r="B119" s="501"/>
      <c r="C119" s="1561" t="s">
        <v>2150</v>
      </c>
      <c r="D119" s="1561"/>
      <c r="F119" s="1561" t="s">
        <v>1143</v>
      </c>
      <c r="G119" s="1569"/>
      <c r="H119" s="1569"/>
      <c r="I119" s="1569" t="s">
        <v>1305</v>
      </c>
      <c r="J119" s="1561" t="s">
        <v>2150</v>
      </c>
      <c r="K119" s="1561"/>
      <c r="M119" s="1561" t="s">
        <v>1143</v>
      </c>
      <c r="N119" s="1569"/>
      <c r="O119" s="1569"/>
      <c r="P119" s="1569" t="s">
        <v>1305</v>
      </c>
    </row>
    <row r="120" spans="1:16" s="305" customFormat="1" ht="13.15" customHeight="1">
      <c r="A120" s="501"/>
      <c r="B120" s="501"/>
      <c r="C120" s="3688" t="s">
        <v>4557</v>
      </c>
      <c r="D120" s="3689"/>
      <c r="E120" s="3689"/>
      <c r="F120" s="3690" t="s">
        <v>4555</v>
      </c>
      <c r="G120" s="3445"/>
      <c r="H120" s="3691"/>
      <c r="I120" s="3692" t="s">
        <v>4564</v>
      </c>
      <c r="J120" s="3688">
        <v>7</v>
      </c>
      <c r="K120" s="3689"/>
      <c r="L120" s="3689"/>
      <c r="M120" s="3690"/>
      <c r="N120" s="3445"/>
      <c r="O120" s="3691"/>
      <c r="P120" s="3692"/>
    </row>
    <row r="121" spans="1:16" s="305" customFormat="1" ht="13.15" customHeight="1">
      <c r="A121" s="501"/>
      <c r="B121" s="501"/>
      <c r="C121" s="3693" t="s">
        <v>4565</v>
      </c>
      <c r="D121" s="3694"/>
      <c r="E121" s="3694"/>
      <c r="F121" s="3695" t="s">
        <v>4555</v>
      </c>
      <c r="G121" s="3696"/>
      <c r="H121" s="3697"/>
      <c r="I121" s="3698" t="s">
        <v>4564</v>
      </c>
      <c r="J121" s="3693">
        <v>8</v>
      </c>
      <c r="K121" s="3694"/>
      <c r="L121" s="3694"/>
      <c r="M121" s="3695"/>
      <c r="N121" s="3696"/>
      <c r="O121" s="3697"/>
      <c r="P121" s="3698"/>
    </row>
    <row r="122" spans="1:16" s="305" customFormat="1" ht="13.15" customHeight="1">
      <c r="A122" s="501"/>
      <c r="B122" s="501"/>
      <c r="C122" s="3693" t="s">
        <v>4557</v>
      </c>
      <c r="D122" s="3694"/>
      <c r="E122" s="3694"/>
      <c r="F122" s="3695" t="s">
        <v>4566</v>
      </c>
      <c r="G122" s="3696"/>
      <c r="H122" s="3697"/>
      <c r="I122" s="3698" t="s">
        <v>4564</v>
      </c>
      <c r="J122" s="3693">
        <v>9</v>
      </c>
      <c r="K122" s="3694"/>
      <c r="L122" s="3694"/>
      <c r="M122" s="3695"/>
      <c r="N122" s="3696"/>
      <c r="O122" s="3697"/>
      <c r="P122" s="3698"/>
    </row>
    <row r="123" spans="1:16" s="305" customFormat="1" ht="13.15" customHeight="1">
      <c r="A123" s="501"/>
      <c r="B123" s="501"/>
      <c r="C123" s="3693" t="s">
        <v>4565</v>
      </c>
      <c r="D123" s="3694"/>
      <c r="E123" s="3694"/>
      <c r="F123" s="3695" t="s">
        <v>4566</v>
      </c>
      <c r="G123" s="3696"/>
      <c r="H123" s="3697"/>
      <c r="I123" s="3698" t="s">
        <v>4564</v>
      </c>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2130</v>
      </c>
      <c r="C127" s="1642" t="s">
        <v>1860</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2150</v>
      </c>
      <c r="D129" s="1561"/>
      <c r="F129" s="1561" t="s">
        <v>1143</v>
      </c>
      <c r="G129" s="1569"/>
      <c r="H129" s="1569"/>
      <c r="I129" s="1569"/>
      <c r="J129" s="1561" t="s">
        <v>2150</v>
      </c>
      <c r="K129" s="1561"/>
      <c r="M129" s="1561" t="s">
        <v>1143</v>
      </c>
      <c r="N129" s="1569"/>
      <c r="O129" s="1569"/>
      <c r="P129" s="1569"/>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2433</v>
      </c>
      <c r="D138" s="330"/>
      <c r="E138" s="330"/>
      <c r="F138" s="330"/>
      <c r="I138" s="3656" t="s">
        <v>3010</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1998</v>
      </c>
      <c r="C140" s="311" t="s">
        <v>1725</v>
      </c>
      <c r="I140" s="3425" t="s">
        <v>3010</v>
      </c>
      <c r="M140" s="1569"/>
      <c r="N140" s="1566"/>
      <c r="O140" s="1566"/>
      <c r="P140" s="315"/>
    </row>
    <row r="141" spans="1:16" s="305" customFormat="1" ht="13.15" customHeight="1">
      <c r="A141" s="501"/>
      <c r="B141" s="501"/>
      <c r="C141" s="1561" t="s">
        <v>2435</v>
      </c>
      <c r="D141" s="1561"/>
      <c r="E141" s="1561"/>
      <c r="F141" s="1569"/>
      <c r="I141" s="3707">
        <v>1995</v>
      </c>
      <c r="N141" s="1566"/>
      <c r="O141" s="1566"/>
      <c r="P141" s="315"/>
    </row>
    <row r="142" spans="1:16" s="305" customFormat="1" ht="13.15" customHeight="1">
      <c r="A142" s="501"/>
      <c r="B142" s="501"/>
      <c r="C142" s="338" t="s">
        <v>1724</v>
      </c>
      <c r="D142" s="310"/>
      <c r="I142" s="3428" t="s">
        <v>4674</v>
      </c>
      <c r="P142" s="315"/>
    </row>
    <row r="143" spans="1:16" s="305" customFormat="1" ht="13.15" customHeight="1">
      <c r="A143" s="501"/>
      <c r="B143" s="501"/>
      <c r="C143" s="1561" t="s">
        <v>2436</v>
      </c>
      <c r="D143" s="1561"/>
      <c r="E143" s="1561"/>
      <c r="F143" s="1569"/>
      <c r="I143" s="3707">
        <v>1997</v>
      </c>
      <c r="K143" s="280" t="s">
        <v>2260</v>
      </c>
      <c r="O143" s="3587" t="s">
        <v>4714</v>
      </c>
      <c r="P143" s="3589"/>
    </row>
    <row r="144" spans="1:16" s="305" customFormat="1" ht="13.15" customHeight="1">
      <c r="A144" s="501"/>
      <c r="B144" s="501"/>
      <c r="C144" s="1561" t="s">
        <v>2434</v>
      </c>
      <c r="F144" s="1569"/>
      <c r="I144" s="3708" t="s">
        <v>3013</v>
      </c>
      <c r="K144" s="280" t="s">
        <v>2261</v>
      </c>
      <c r="O144" s="3613" t="s">
        <v>4715</v>
      </c>
      <c r="P144" s="3593"/>
    </row>
    <row r="145" spans="1:16" s="305" customFormat="1" ht="13.15" customHeight="1">
      <c r="A145" s="501"/>
      <c r="B145" s="501"/>
      <c r="C145" s="1561" t="s">
        <v>2181</v>
      </c>
      <c r="D145" s="1561"/>
      <c r="E145" s="1561"/>
      <c r="F145" s="1569"/>
      <c r="I145" s="3709">
        <v>41274</v>
      </c>
      <c r="J145" s="3710"/>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2000</v>
      </c>
      <c r="C147" s="1560" t="s">
        <v>2505</v>
      </c>
      <c r="D147" s="1561"/>
      <c r="E147" s="1561"/>
      <c r="F147" s="1569"/>
      <c r="I147" s="3686" t="s">
        <v>3013</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756</v>
      </c>
      <c r="C149" s="1560" t="s">
        <v>2718</v>
      </c>
      <c r="D149" s="1561"/>
      <c r="E149" s="1561"/>
      <c r="F149" s="1569"/>
      <c r="G149" s="1569"/>
      <c r="N149" s="1566"/>
      <c r="O149" s="1566"/>
      <c r="P149" s="315"/>
    </row>
    <row r="150" spans="1:16" s="305" customFormat="1" ht="13.15" customHeight="1">
      <c r="A150" s="501"/>
      <c r="B150" s="501"/>
      <c r="C150" s="1561" t="s">
        <v>725</v>
      </c>
      <c r="D150" s="1561"/>
      <c r="E150" s="1561"/>
      <c r="F150" s="1569"/>
      <c r="G150" s="1569"/>
      <c r="I150" s="3686" t="s">
        <v>3013</v>
      </c>
      <c r="K150" s="1561" t="s">
        <v>1546</v>
      </c>
      <c r="L150" s="1561"/>
      <c r="M150" s="1569"/>
      <c r="N150" s="1569"/>
      <c r="O150" s="3686" t="s">
        <v>3013</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1738</v>
      </c>
      <c r="B152" s="330" t="s">
        <v>1200</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1998</v>
      </c>
      <c r="C154" s="321" t="s">
        <v>1835</v>
      </c>
      <c r="F154" s="1569"/>
      <c r="G154" s="1569"/>
      <c r="H154" s="1569"/>
      <c r="I154" s="1569"/>
      <c r="J154" s="322"/>
      <c r="K154" s="1569"/>
      <c r="L154" s="1569"/>
      <c r="N154" s="1566"/>
      <c r="O154" s="1566"/>
      <c r="P154" s="315"/>
    </row>
    <row r="155" spans="1:16" s="305" customFormat="1" ht="12.6" customHeight="1">
      <c r="A155" s="501"/>
      <c r="B155" s="501"/>
      <c r="C155" s="329" t="s">
        <v>1538</v>
      </c>
      <c r="D155" s="322"/>
      <c r="E155" s="322"/>
      <c r="F155" s="1569"/>
      <c r="G155" s="1569"/>
      <c r="H155" s="1569"/>
      <c r="I155" s="1569"/>
      <c r="K155" s="3711" t="s">
        <v>3013</v>
      </c>
      <c r="N155" s="1566"/>
      <c r="O155" s="1566"/>
      <c r="P155" s="315"/>
    </row>
    <row r="156" spans="1:16" s="305" customFormat="1" ht="12.6" customHeight="1">
      <c r="A156" s="501"/>
      <c r="B156" s="501"/>
      <c r="C156" s="305" t="s">
        <v>620</v>
      </c>
      <c r="K156" s="3712"/>
      <c r="L156" s="310" t="s">
        <v>1807</v>
      </c>
      <c r="P156" s="339">
        <f>IF('Part VI-Revenues &amp; Expenses'!O$60=0,0,K156/'Part VI-Revenues &amp; Expenses'!$O$60)</f>
        <v>0</v>
      </c>
    </row>
    <row r="157" spans="1:16" s="305" customFormat="1" ht="12.6" customHeight="1">
      <c r="A157" s="501"/>
      <c r="B157" s="501"/>
      <c r="C157" s="305" t="s">
        <v>3755</v>
      </c>
      <c r="H157" s="3658"/>
      <c r="I157" s="179"/>
      <c r="J157" s="901" t="s">
        <v>3754</v>
      </c>
      <c r="K157" s="3712"/>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1808</v>
      </c>
      <c r="E158" s="3587"/>
      <c r="F158" s="3588"/>
      <c r="G158" s="3588"/>
      <c r="H158" s="3588"/>
      <c r="I158" s="3588"/>
      <c r="J158" s="3588"/>
      <c r="K158" s="3619"/>
      <c r="L158" s="340" t="s">
        <v>1809</v>
      </c>
      <c r="M158" s="3713"/>
      <c r="N158" s="3714"/>
      <c r="O158" s="3714"/>
      <c r="P158" s="3715"/>
    </row>
    <row r="159" spans="1:16" s="305" customFormat="1" ht="12.6" customHeight="1">
      <c r="A159" s="501"/>
      <c r="B159" s="501"/>
      <c r="C159" s="310" t="s">
        <v>1810</v>
      </c>
      <c r="D159" s="318"/>
      <c r="E159" s="3590"/>
      <c r="F159" s="3591"/>
      <c r="G159" s="3591"/>
      <c r="H159" s="3591"/>
      <c r="I159" s="3592"/>
      <c r="J159" s="3591"/>
      <c r="K159" s="3594"/>
      <c r="L159" s="340" t="s">
        <v>1814</v>
      </c>
      <c r="M159" s="3716"/>
      <c r="N159" s="3717"/>
      <c r="O159" s="3718"/>
    </row>
    <row r="160" spans="1:16" s="305" customFormat="1" ht="12.6" customHeight="1">
      <c r="A160" s="501"/>
      <c r="B160" s="501"/>
      <c r="C160" s="310" t="s">
        <v>623</v>
      </c>
      <c r="E160" s="3613"/>
      <c r="F160" s="3592"/>
      <c r="G160" s="3592"/>
      <c r="H160" s="3593"/>
      <c r="I160" s="335" t="s">
        <v>2244</v>
      </c>
      <c r="J160" s="3596"/>
      <c r="K160" s="3598"/>
      <c r="L160" s="341" t="s">
        <v>1994</v>
      </c>
      <c r="M160" s="3716"/>
      <c r="N160" s="3717"/>
      <c r="O160" s="3718"/>
    </row>
    <row r="161" spans="1:16" s="305" customFormat="1" ht="12.6" customHeight="1">
      <c r="A161" s="501"/>
      <c r="B161" s="501"/>
      <c r="C161" s="310" t="s">
        <v>1813</v>
      </c>
      <c r="E161" s="3605"/>
      <c r="F161" s="3682"/>
      <c r="G161" s="3606"/>
      <c r="H161" s="1562"/>
      <c r="I161" s="1559" t="s">
        <v>1812</v>
      </c>
      <c r="J161" s="3719"/>
      <c r="K161" s="3684"/>
      <c r="L161" s="3528"/>
      <c r="M161" s="3684"/>
      <c r="N161" s="3684"/>
      <c r="O161" s="3684"/>
      <c r="P161" s="352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2000</v>
      </c>
      <c r="C163" s="1560" t="s">
        <v>2719</v>
      </c>
      <c r="D163" s="1560"/>
      <c r="E163" s="1560"/>
      <c r="F163" s="1560"/>
      <c r="G163" s="1560"/>
      <c r="I163" s="3686" t="s">
        <v>3013</v>
      </c>
      <c r="J163" s="1643" t="s">
        <v>768</v>
      </c>
      <c r="K163" s="1644"/>
      <c r="L163" s="3686"/>
      <c r="M163" s="1645" t="s">
        <v>2341</v>
      </c>
      <c r="N163" s="1646"/>
      <c r="O163" s="1647"/>
      <c r="P163" s="3720"/>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2720</v>
      </c>
      <c r="D165" s="1560"/>
      <c r="E165" s="1560"/>
      <c r="F165" s="1560"/>
      <c r="G165" s="1560"/>
      <c r="I165" s="3686" t="s">
        <v>3013</v>
      </c>
      <c r="J165" s="1643" t="s">
        <v>768</v>
      </c>
      <c r="K165" s="1644"/>
      <c r="L165" s="3686"/>
      <c r="M165" s="1645" t="s">
        <v>2341</v>
      </c>
      <c r="N165" s="1646"/>
      <c r="O165" s="1647"/>
      <c r="P165" s="3720"/>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756</v>
      </c>
      <c r="C167" s="1560" t="s">
        <v>1769</v>
      </c>
      <c r="D167" s="1560"/>
      <c r="E167" s="1560"/>
      <c r="F167" s="1560"/>
      <c r="G167" s="1560"/>
      <c r="I167" s="3686"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2130</v>
      </c>
      <c r="C169" s="1648" t="s">
        <v>1993</v>
      </c>
      <c r="D169" s="1648"/>
      <c r="E169" s="1648"/>
      <c r="F169" s="1648"/>
      <c r="G169" s="1560"/>
      <c r="I169" s="3686" t="s">
        <v>3013</v>
      </c>
      <c r="J169" s="345" t="s">
        <v>2770</v>
      </c>
      <c r="L169" s="1649" t="s">
        <v>3730</v>
      </c>
      <c r="M169" s="1649"/>
      <c r="N169" s="1560"/>
      <c r="O169" s="1560"/>
      <c r="P169" s="3657"/>
    </row>
    <row r="170" spans="1:16" s="305" customFormat="1" ht="12.6" customHeight="1">
      <c r="B170" s="501"/>
      <c r="L170" s="1638" t="s">
        <v>804</v>
      </c>
      <c r="M170" s="1638"/>
      <c r="N170" s="1560"/>
      <c r="O170" s="1560"/>
      <c r="P170" s="3659"/>
    </row>
    <row r="171" spans="1:16" s="305" customFormat="1" ht="12.6" customHeight="1">
      <c r="A171" s="501"/>
      <c r="B171" s="501"/>
      <c r="L171" s="1638" t="s">
        <v>1803</v>
      </c>
      <c r="M171" s="1638"/>
      <c r="N171" s="1560"/>
      <c r="O171" s="1560"/>
      <c r="P171" s="344" t="str">
        <f>IF(P169="","",P170/P169)</f>
        <v/>
      </c>
    </row>
    <row r="172" spans="1:16" s="305" customFormat="1" ht="13.15" customHeight="1">
      <c r="A172" s="501"/>
      <c r="B172" s="501" t="s">
        <v>1747</v>
      </c>
      <c r="C172" s="277" t="s">
        <v>1620</v>
      </c>
      <c r="D172" s="1561"/>
      <c r="E172" s="1561"/>
      <c r="F172" s="1561"/>
      <c r="G172" s="1561"/>
      <c r="H172" s="1569"/>
      <c r="J172" s="314"/>
      <c r="K172" s="322"/>
      <c r="M172" s="1566"/>
      <c r="O172" s="1569"/>
      <c r="P172" s="315"/>
    </row>
    <row r="173" spans="1:16" s="305" customFormat="1" ht="12.6" customHeight="1">
      <c r="A173" s="501"/>
      <c r="B173" s="501"/>
      <c r="C173" s="1566" t="s">
        <v>2227</v>
      </c>
      <c r="D173" s="316"/>
      <c r="E173" s="1566"/>
      <c r="F173" s="1566"/>
      <c r="I173" s="3711" t="s">
        <v>3013</v>
      </c>
      <c r="L173" s="1566" t="s">
        <v>1621</v>
      </c>
      <c r="M173" s="1566"/>
      <c r="N173" s="1566"/>
      <c r="P173" s="3711" t="s">
        <v>3010</v>
      </c>
    </row>
    <row r="174" spans="1:16" s="305" customFormat="1" ht="12.6" customHeight="1">
      <c r="A174" s="501"/>
      <c r="B174" s="501"/>
      <c r="C174" s="1566" t="s">
        <v>2228</v>
      </c>
      <c r="I174" s="3708" t="s">
        <v>3010</v>
      </c>
      <c r="L174" s="1566" t="s">
        <v>2863</v>
      </c>
      <c r="M174" s="1566"/>
      <c r="N174" s="1566"/>
      <c r="P174" s="3708" t="s">
        <v>3013</v>
      </c>
    </row>
    <row r="175" spans="1:16" s="305" customFormat="1" ht="12.6" customHeight="1">
      <c r="A175" s="501"/>
      <c r="C175" s="1566" t="s">
        <v>2739</v>
      </c>
      <c r="I175" s="3708" t="s">
        <v>3013</v>
      </c>
      <c r="L175" s="1566" t="s">
        <v>2706</v>
      </c>
      <c r="N175" s="3721"/>
      <c r="O175" s="3722"/>
      <c r="P175" s="3708"/>
    </row>
    <row r="176" spans="1:16" s="305" customFormat="1" ht="12.6" customHeight="1">
      <c r="A176" s="501"/>
      <c r="B176" s="501"/>
      <c r="C176" s="1566" t="s">
        <v>1296</v>
      </c>
      <c r="D176" s="346"/>
      <c r="I176" s="3708" t="s">
        <v>3013</v>
      </c>
      <c r="K176" s="316"/>
      <c r="L176" s="1566" t="s">
        <v>3505</v>
      </c>
      <c r="M176" s="1566"/>
      <c r="N176" s="1566"/>
      <c r="P176" s="3708" t="s">
        <v>3013</v>
      </c>
    </row>
    <row r="177" spans="1:21" s="305" customFormat="1" ht="12.6" customHeight="1">
      <c r="A177" s="501"/>
      <c r="B177" s="307"/>
      <c r="C177" s="1566" t="s">
        <v>1819</v>
      </c>
      <c r="I177" s="3708" t="s">
        <v>3013</v>
      </c>
      <c r="J177" s="345" t="s">
        <v>2771</v>
      </c>
      <c r="O177" s="3723"/>
      <c r="P177" s="3724"/>
    </row>
    <row r="178" spans="1:21" s="305" customFormat="1" ht="12.6" customHeight="1">
      <c r="A178" s="501"/>
      <c r="B178" s="501"/>
      <c r="C178" s="1566" t="s">
        <v>2921</v>
      </c>
      <c r="I178" s="3725" t="s">
        <v>3013</v>
      </c>
      <c r="J178" s="345" t="s">
        <v>2771</v>
      </c>
      <c r="O178" s="3726"/>
      <c r="P178" s="3727"/>
    </row>
    <row r="179" spans="1:21" s="305" customFormat="1" ht="3" customHeight="1">
      <c r="A179" s="501"/>
      <c r="B179" s="501"/>
      <c r="P179" s="314"/>
    </row>
    <row r="180" spans="1:21" s="305" customFormat="1" ht="13.15" customHeight="1">
      <c r="B180" s="501" t="s">
        <v>1748</v>
      </c>
      <c r="C180" s="311" t="s">
        <v>746</v>
      </c>
    </row>
    <row r="181" spans="1:21" s="305" customFormat="1" ht="12.6" customHeight="1">
      <c r="A181" s="501"/>
      <c r="B181" s="501"/>
      <c r="C181" s="310" t="s">
        <v>644</v>
      </c>
      <c r="D181" s="1561"/>
      <c r="E181" s="1561"/>
      <c r="F181" s="1569"/>
      <c r="G181" s="1569"/>
      <c r="H181" s="3666">
        <v>35321</v>
      </c>
      <c r="I181" s="3667"/>
      <c r="N181" s="1566"/>
      <c r="O181" s="1566"/>
      <c r="P181" s="315"/>
    </row>
    <row r="182" spans="1:21" s="305" customFormat="1" ht="12.6" customHeight="1">
      <c r="A182" s="501"/>
      <c r="B182" s="501"/>
      <c r="C182" s="310" t="s">
        <v>278</v>
      </c>
      <c r="D182" s="1561"/>
      <c r="E182" s="1561"/>
      <c r="F182" s="1569"/>
      <c r="G182" s="1569"/>
      <c r="H182" s="3728" t="s">
        <v>3187</v>
      </c>
      <c r="I182" s="3729"/>
      <c r="N182" s="1566"/>
      <c r="O182" s="1566"/>
      <c r="P182" s="315"/>
    </row>
    <row r="183" spans="1:21" s="305" customFormat="1" ht="12.6" customHeight="1">
      <c r="A183" s="501"/>
      <c r="B183" s="501"/>
      <c r="C183" s="310" t="s">
        <v>2310</v>
      </c>
      <c r="D183" s="1561"/>
      <c r="E183" s="1561"/>
      <c r="F183" s="1569"/>
      <c r="G183" s="1569"/>
      <c r="H183" s="3730" t="s">
        <v>3187</v>
      </c>
      <c r="I183" s="3731"/>
      <c r="N183" s="1566"/>
      <c r="O183" s="1566"/>
      <c r="P183" s="315"/>
    </row>
    <row r="184" spans="1:21" s="305" customFormat="1" ht="6" customHeight="1">
      <c r="B184" s="307"/>
      <c r="C184" s="1566"/>
      <c r="H184" s="1566"/>
      <c r="L184" s="324"/>
      <c r="M184" s="324"/>
      <c r="N184" s="324"/>
      <c r="O184" s="324"/>
      <c r="P184" s="312"/>
    </row>
    <row r="185" spans="1:21" ht="12" customHeight="1">
      <c r="A185" s="333" t="s">
        <v>2799</v>
      </c>
      <c r="C185" s="333" t="s">
        <v>576</v>
      </c>
      <c r="M185" s="333" t="s">
        <v>2266</v>
      </c>
      <c r="N185" s="333" t="s">
        <v>80</v>
      </c>
    </row>
    <row r="186" spans="1:21" ht="409.5" customHeight="1">
      <c r="A186" s="3732" t="s">
        <v>4695</v>
      </c>
      <c r="B186" s="3733"/>
      <c r="C186" s="3733"/>
      <c r="D186" s="3733"/>
      <c r="E186" s="3733"/>
      <c r="F186" s="3733"/>
      <c r="G186" s="3733"/>
      <c r="H186" s="3733"/>
      <c r="I186" s="3733"/>
      <c r="J186" s="3733"/>
      <c r="K186" s="3733"/>
      <c r="L186" s="3734"/>
      <c r="M186" s="3735"/>
      <c r="N186" s="3736"/>
      <c r="O186" s="3736"/>
      <c r="P186" s="3737"/>
      <c r="Q186" s="1619" t="s">
        <v>2709</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2577</v>
      </c>
      <c r="S614" s="3741" t="s">
        <v>633</v>
      </c>
      <c r="T614" s="3744"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2578</v>
      </c>
      <c r="S615" s="3741" t="s">
        <v>321</v>
      </c>
      <c r="T615" s="3744"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2579</v>
      </c>
      <c r="S616" s="3741" t="s">
        <v>2498</v>
      </c>
      <c r="T616" s="3744"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2580</v>
      </c>
      <c r="S617" s="3741"/>
      <c r="T617" s="3744"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2581</v>
      </c>
      <c r="S618" s="3741" t="s">
        <v>2022</v>
      </c>
      <c r="T618" s="3744"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2582</v>
      </c>
      <c r="S619" s="3741" t="s">
        <v>2498</v>
      </c>
      <c r="T619" s="3744"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2583</v>
      </c>
      <c r="S620" s="3741" t="s">
        <v>1338</v>
      </c>
      <c r="T620" s="3744"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2584</v>
      </c>
      <c r="S621" s="3741" t="s">
        <v>2024</v>
      </c>
      <c r="T621" s="3744"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2585</v>
      </c>
      <c r="S622" s="3741" t="s">
        <v>671</v>
      </c>
      <c r="T622" s="3744"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2586</v>
      </c>
      <c r="S623" s="3741" t="s">
        <v>633</v>
      </c>
      <c r="T623" s="3744"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2587</v>
      </c>
      <c r="S624" s="3741" t="s">
        <v>2187</v>
      </c>
      <c r="T624" s="3744"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2588</v>
      </c>
      <c r="S625" s="3741" t="s">
        <v>2547</v>
      </c>
      <c r="T625" s="3744"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2259</v>
      </c>
      <c r="S626" s="3741" t="s">
        <v>2544</v>
      </c>
      <c r="T626" s="3744"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2589</v>
      </c>
      <c r="S627" s="3741" t="s">
        <v>2187</v>
      </c>
      <c r="T627" s="3744"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2590</v>
      </c>
      <c r="S628" s="3741" t="s">
        <v>2501</v>
      </c>
      <c r="T628" s="3744"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2591</v>
      </c>
      <c r="S629" s="3741" t="s">
        <v>2022</v>
      </c>
      <c r="T629" s="3744"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1054</v>
      </c>
      <c r="S630" s="3741" t="s">
        <v>1467</v>
      </c>
      <c r="T630" s="3744"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912</v>
      </c>
      <c r="S631" s="3741" t="s">
        <v>1112</v>
      </c>
      <c r="T631" s="3744"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1055</v>
      </c>
      <c r="S632" s="3741" t="s">
        <v>633</v>
      </c>
      <c r="T632" s="3744"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1056</v>
      </c>
      <c r="S633" s="3741" t="s">
        <v>1925</v>
      </c>
      <c r="T633" s="3744"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1057</v>
      </c>
      <c r="S634" s="3741" t="s">
        <v>2020</v>
      </c>
      <c r="T634" s="3744"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1058</v>
      </c>
      <c r="S635" s="3741" t="s">
        <v>1105</v>
      </c>
      <c r="T635" s="3744"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1059</v>
      </c>
      <c r="S636" s="3741" t="s">
        <v>1531</v>
      </c>
      <c r="T636" s="3744"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1060</v>
      </c>
      <c r="S637" s="3741" t="s">
        <v>2498</v>
      </c>
      <c r="T637" s="3744"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1061</v>
      </c>
      <c r="S638" s="3741" t="s">
        <v>160</v>
      </c>
      <c r="T638" s="3744"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1062</v>
      </c>
      <c r="S639" s="3741" t="s">
        <v>1345</v>
      </c>
      <c r="T639" s="3744"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1063</v>
      </c>
      <c r="S640" s="3741" t="s">
        <v>1531</v>
      </c>
      <c r="T640" s="3744"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1064</v>
      </c>
      <c r="S641" s="3741" t="s">
        <v>1119</v>
      </c>
      <c r="T641" s="3744"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1065</v>
      </c>
      <c r="S642" s="3741" t="s">
        <v>2020</v>
      </c>
      <c r="T642" s="3744"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835</v>
      </c>
      <c r="S643" s="507" t="s">
        <v>881</v>
      </c>
      <c r="T643" s="3744"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1066</v>
      </c>
      <c r="S644" s="3741" t="s">
        <v>2501</v>
      </c>
      <c r="T644" s="3744"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1618</v>
      </c>
      <c r="S645" s="3741" t="s">
        <v>2544</v>
      </c>
      <c r="T645" s="3744"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1067</v>
      </c>
      <c r="S646" s="3741"/>
      <c r="T646" s="3744"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1068</v>
      </c>
      <c r="S648" s="3741" t="s">
        <v>176</v>
      </c>
      <c r="T648" s="3744"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2300</v>
      </c>
      <c r="S649" s="3741" t="s">
        <v>1217</v>
      </c>
      <c r="T649" s="3744"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1069</v>
      </c>
      <c r="S650" s="3741" t="s">
        <v>633</v>
      </c>
      <c r="T650" s="3744"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1070</v>
      </c>
      <c r="S651" s="3741" t="s">
        <v>633</v>
      </c>
      <c r="T651" s="3744"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1071</v>
      </c>
      <c r="S652" s="3741" t="s">
        <v>633</v>
      </c>
      <c r="T652" s="3744"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1072</v>
      </c>
      <c r="S653" s="3741" t="s">
        <v>633</v>
      </c>
      <c r="T653" s="3744"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1073</v>
      </c>
      <c r="S654" s="3741" t="s">
        <v>1680</v>
      </c>
      <c r="T654" s="3744"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1074</v>
      </c>
      <c r="S655" s="3741" t="s">
        <v>963</v>
      </c>
      <c r="T655" s="3744"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1075</v>
      </c>
      <c r="S656" s="3741" t="s">
        <v>123</v>
      </c>
      <c r="T656" s="3744"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1076</v>
      </c>
      <c r="S657" s="3741" t="s">
        <v>633</v>
      </c>
      <c r="T657" s="3744"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1077</v>
      </c>
      <c r="S658" s="3741" t="s">
        <v>318</v>
      </c>
      <c r="T658" s="3744"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1078</v>
      </c>
      <c r="S659" s="3741" t="s">
        <v>322</v>
      </c>
      <c r="T659" s="3744"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839</v>
      </c>
      <c r="S660" s="3741" t="s">
        <v>1324</v>
      </c>
      <c r="T660" s="3744"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1079</v>
      </c>
      <c r="S661" s="3741" t="s">
        <v>671</v>
      </c>
      <c r="T661" s="3744"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1080</v>
      </c>
      <c r="S662" s="3741" t="s">
        <v>1531</v>
      </c>
      <c r="T662" s="3744"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1081</v>
      </c>
      <c r="S663" s="3741" t="s">
        <v>633</v>
      </c>
      <c r="T663" s="3744"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1082</v>
      </c>
      <c r="S664" s="3741" t="s">
        <v>663</v>
      </c>
      <c r="T664" s="3744"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1083</v>
      </c>
      <c r="S665" s="3741" t="s">
        <v>160</v>
      </c>
      <c r="T665" s="3744"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1084</v>
      </c>
      <c r="S666" s="3741" t="s">
        <v>1925</v>
      </c>
      <c r="T666" s="3744"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1085</v>
      </c>
      <c r="S667" s="3741" t="s">
        <v>2020</v>
      </c>
      <c r="T667" s="3744"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1086</v>
      </c>
      <c r="S668" s="3741" t="s">
        <v>633</v>
      </c>
      <c r="T668" s="3744"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1087</v>
      </c>
      <c r="S669" s="3741" t="s">
        <v>1680</v>
      </c>
      <c r="T669" s="3744"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1088</v>
      </c>
      <c r="S670" s="3741" t="s">
        <v>2501</v>
      </c>
      <c r="T670" s="3744"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1089</v>
      </c>
      <c r="S671" s="3741" t="s">
        <v>160</v>
      </c>
      <c r="T671" s="3744"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1090</v>
      </c>
      <c r="S672" s="3741" t="s">
        <v>160</v>
      </c>
      <c r="T672" s="3744"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szl44NgySTzNC2CeMZxSBTOwE/qKUWtBi6z4mfQU/JnruVj6sG0kHxCXil6uh+UhqiyGtSe885hccmtAdqM/Eg==" saltValue="Pp40Amz5dgQXypY2u7hIfg=="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Hillcrest Apartments</v>
      </c>
      <c r="C1" s="2247"/>
      <c r="D1" s="2247"/>
      <c r="E1" s="2247"/>
      <c r="F1" s="2247"/>
      <c r="G1" s="2247"/>
      <c r="H1" s="1441"/>
    </row>
    <row r="2" spans="1:8" ht="21.95" customHeight="1">
      <c r="A2" s="1469"/>
      <c r="B2" s="1469"/>
      <c r="C2" s="1469"/>
      <c r="D2" s="1469"/>
      <c r="E2" s="1469"/>
      <c r="F2" s="1469"/>
      <c r="G2" s="1469"/>
      <c r="H2" s="1469"/>
    </row>
    <row r="3" spans="1:8" ht="20.25" customHeight="1">
      <c r="C3" s="2246" t="s">
        <v>3097</v>
      </c>
      <c r="D3" s="2246"/>
      <c r="E3" s="2246"/>
      <c r="F3" s="2246"/>
    </row>
    <row r="5" spans="1:8" ht="15.75">
      <c r="D5" s="1402"/>
      <c r="E5" s="1402" t="s">
        <v>3098</v>
      </c>
    </row>
    <row r="6" spans="1:8" ht="15.75">
      <c r="D6" s="1442" t="s">
        <v>2495</v>
      </c>
      <c r="E6" s="1442" t="s">
        <v>3099</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3100</v>
      </c>
      <c r="B1" s="2248"/>
      <c r="C1" s="2248"/>
      <c r="D1" s="2248"/>
      <c r="E1" s="2248"/>
      <c r="F1" s="2248"/>
      <c r="G1" s="2248"/>
      <c r="H1" s="2248"/>
      <c r="I1" s="2248"/>
      <c r="J1" s="2248"/>
      <c r="K1" s="2248"/>
    </row>
    <row r="2" spans="1:11" ht="15">
      <c r="A2" s="2262" t="str">
        <f>Overview!C8</f>
        <v>Hillcrest Apartments</v>
      </c>
      <c r="B2" s="2262"/>
      <c r="C2" s="2262"/>
      <c r="D2" s="2262"/>
      <c r="E2" s="2262"/>
      <c r="F2" s="2262"/>
      <c r="G2" s="2262"/>
      <c r="H2" s="2262"/>
      <c r="I2" s="2262"/>
      <c r="J2" s="2262"/>
      <c r="K2" s="2262"/>
    </row>
    <row r="3" spans="1:11" ht="9" customHeight="1">
      <c r="A3" s="810"/>
      <c r="B3" s="810"/>
      <c r="C3" s="810"/>
    </row>
    <row r="4" spans="1:11" ht="18">
      <c r="A4" s="811" t="s">
        <v>3575</v>
      </c>
      <c r="B4" s="810"/>
      <c r="C4" s="810"/>
      <c r="K4" s="812"/>
    </row>
    <row r="5" spans="1:11" s="767" customFormat="1" ht="42" customHeight="1">
      <c r="C5" s="2249" t="s">
        <v>4527</v>
      </c>
      <c r="D5" s="2250"/>
      <c r="E5" s="2251"/>
      <c r="F5" s="593"/>
      <c r="G5" s="2249" t="s">
        <v>4528</v>
      </c>
      <c r="H5" s="2250"/>
      <c r="I5" s="2251"/>
      <c r="J5" s="809"/>
      <c r="K5" s="2260" t="s">
        <v>4529</v>
      </c>
    </row>
    <row r="6" spans="1:11" s="814" customFormat="1" ht="15" customHeight="1">
      <c r="A6" s="813" t="s">
        <v>2731</v>
      </c>
      <c r="C6" s="815" t="s">
        <v>3558</v>
      </c>
      <c r="D6" s="815" t="s">
        <v>4530</v>
      </c>
      <c r="E6" s="815" t="s">
        <v>2005</v>
      </c>
      <c r="G6" s="815" t="s">
        <v>3559</v>
      </c>
      <c r="H6" s="815" t="s">
        <v>4531</v>
      </c>
      <c r="I6" s="815" t="s">
        <v>2005</v>
      </c>
      <c r="K6" s="2261"/>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20</v>
      </c>
      <c r="E8" s="819">
        <f>C8*D8</f>
        <v>0</v>
      </c>
      <c r="G8" s="817"/>
      <c r="H8" s="818">
        <f>'Part VI-Revenues &amp; Expenses'!$K$62</f>
        <v>20</v>
      </c>
      <c r="I8" s="819">
        <f>G8*H8</f>
        <v>0</v>
      </c>
      <c r="K8" s="816" t="s">
        <v>3560</v>
      </c>
    </row>
    <row r="9" spans="1:11" s="593" customFormat="1" ht="13.5" customHeight="1">
      <c r="A9" s="593" t="s">
        <v>2730</v>
      </c>
      <c r="C9" s="817"/>
      <c r="D9" s="1407">
        <f>'Part VI-Revenues &amp; Expenses'!$L$58</f>
        <v>16</v>
      </c>
      <c r="E9" s="819">
        <f>C9*D9</f>
        <v>0</v>
      </c>
      <c r="G9" s="817"/>
      <c r="H9" s="818">
        <f>'Part VI-Revenues &amp; Expenses'!$L$62</f>
        <v>16</v>
      </c>
      <c r="I9" s="819">
        <f>G9*H9</f>
        <v>0</v>
      </c>
      <c r="K9" s="1414">
        <f>'Part IV-A-Uses of Funds'!$G$132</f>
        <v>3838818</v>
      </c>
    </row>
    <row r="10" spans="1:11" s="593" customFormat="1" ht="13.5" customHeight="1">
      <c r="A10" s="593" t="s">
        <v>2733</v>
      </c>
      <c r="C10" s="817"/>
      <c r="D10" s="1407">
        <f>'Part VI-Revenues &amp; Expenses'!$M$58</f>
        <v>12</v>
      </c>
      <c r="E10" s="819">
        <f>C10*D10</f>
        <v>0</v>
      </c>
      <c r="G10" s="817"/>
      <c r="H10" s="818">
        <f>'Part VI-Revenues &amp; Expenses'!$M$62</f>
        <v>12</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2" t="s">
        <v>3565</v>
      </c>
    </row>
    <row r="12" spans="1:11" ht="13.5" customHeight="1" thickBot="1">
      <c r="A12" s="825" t="s">
        <v>3527</v>
      </c>
      <c r="D12" s="856">
        <f>SUM(D7:D11)</f>
        <v>48</v>
      </c>
      <c r="E12" s="826"/>
      <c r="G12" s="825" t="s">
        <v>1805</v>
      </c>
      <c r="H12" s="1413">
        <f>SUM(H7:H11)</f>
        <v>48</v>
      </c>
      <c r="I12" s="826"/>
      <c r="K12" s="2253"/>
    </row>
    <row r="13" spans="1:11" s="593" customFormat="1" ht="13.5" customHeight="1" thickBot="1">
      <c r="A13" s="825" t="s">
        <v>3102</v>
      </c>
      <c r="B13" s="827"/>
      <c r="E13" s="828">
        <f>SUM(E7:E11)</f>
        <v>0</v>
      </c>
      <c r="G13" s="825" t="s">
        <v>3338</v>
      </c>
      <c r="H13" s="827"/>
      <c r="I13" s="829">
        <f>SUM(I7:I11)</f>
        <v>0</v>
      </c>
      <c r="K13" s="1414">
        <f>'Part VIII-Threshold Criteria'!$P$63</f>
        <v>9013956</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4315</v>
      </c>
      <c r="F18" s="1416"/>
      <c r="G18" s="1416"/>
      <c r="H18" s="1416"/>
      <c r="I18" s="1416"/>
      <c r="K18" s="1392">
        <f>Overview!$E$13</f>
        <v>48</v>
      </c>
    </row>
    <row r="19" spans="1:11" s="593" customFormat="1" ht="13.5" customHeight="1">
      <c r="A19" s="593" t="s">
        <v>3103</v>
      </c>
      <c r="E19" s="1410"/>
      <c r="K19" s="680">
        <f>Overview!$C$13</f>
        <v>48</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3838818</v>
      </c>
    </row>
    <row r="24" spans="1:11" s="593" customFormat="1" ht="13.5" customHeight="1">
      <c r="A24" s="834" t="s">
        <v>1772</v>
      </c>
      <c r="E24" s="1410"/>
      <c r="K24" s="820">
        <f>'Part IV-A-Uses of Funds'!$G$122</f>
        <v>76913</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3761905</v>
      </c>
    </row>
    <row r="29" spans="1:11" ht="6.75" customHeight="1">
      <c r="A29" s="831"/>
      <c r="E29" s="1411"/>
      <c r="K29" s="839"/>
    </row>
    <row r="30" spans="1:11" s="593" customFormat="1" ht="15" customHeight="1">
      <c r="A30" s="827" t="s">
        <v>3110</v>
      </c>
      <c r="E30" s="1409" t="s">
        <v>3570</v>
      </c>
      <c r="F30" s="840"/>
      <c r="G30" s="840"/>
      <c r="H30" s="840"/>
      <c r="I30" s="840"/>
      <c r="K30" s="841">
        <f>K21*K28</f>
        <v>3761905</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0</v>
      </c>
    </row>
    <row r="37" spans="1:11" s="593" customFormat="1" ht="9" customHeight="1" thickBot="1">
      <c r="E37" s="846"/>
      <c r="F37" s="846"/>
      <c r="G37" s="846"/>
      <c r="H37" s="846"/>
      <c r="K37" s="847"/>
    </row>
    <row r="38" spans="1:11" s="593" customFormat="1" ht="15.75" customHeight="1">
      <c r="A38" s="2254" t="s">
        <v>3568</v>
      </c>
      <c r="B38" s="2254"/>
      <c r="C38" s="2254"/>
      <c r="D38" s="2255" t="s">
        <v>3105</v>
      </c>
      <c r="E38" s="2255"/>
      <c r="F38" s="2255" t="s">
        <v>3106</v>
      </c>
      <c r="G38" s="2255"/>
      <c r="H38" s="2255"/>
      <c r="I38" s="1470" t="s">
        <v>2847</v>
      </c>
      <c r="K38" s="2256">
        <f>ROUND((D39/F39)*I39,0)</f>
        <v>0</v>
      </c>
    </row>
    <row r="39" spans="1:11" s="593" customFormat="1" ht="15.75" customHeight="1" thickBot="1">
      <c r="A39" s="2254"/>
      <c r="B39" s="2254"/>
      <c r="C39" s="2254"/>
      <c r="D39" s="2258">
        <f>K36</f>
        <v>0</v>
      </c>
      <c r="E39" s="2258"/>
      <c r="F39" s="2259">
        <f>K28</f>
        <v>3761905</v>
      </c>
      <c r="G39" s="2259"/>
      <c r="H39" s="2259"/>
      <c r="I39" s="848">
        <f>K19</f>
        <v>48</v>
      </c>
      <c r="K39" s="2257"/>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2018-032  Hillcrest Apartments</v>
      </c>
      <c r="B1" s="2263"/>
      <c r="C1" s="2263"/>
      <c r="D1" s="2263"/>
      <c r="E1" s="2263"/>
      <c r="F1" s="2263"/>
      <c r="G1" s="2263"/>
      <c r="H1" s="2263"/>
    </row>
    <row r="3" spans="1:13" ht="12" customHeight="1">
      <c r="A3" s="2264" t="s">
        <v>3529</v>
      </c>
      <c r="B3" s="2264"/>
      <c r="C3" s="2264"/>
      <c r="D3" s="2264"/>
      <c r="E3" s="2264"/>
      <c r="F3" s="2264"/>
      <c r="G3" s="2264"/>
      <c r="H3" s="2264"/>
      <c r="I3" s="1474"/>
      <c r="J3" s="2266" t="s">
        <v>4316</v>
      </c>
      <c r="K3" s="2266"/>
      <c r="L3" s="882"/>
      <c r="M3" s="882"/>
    </row>
    <row r="4" spans="1:13">
      <c r="J4" s="2266"/>
      <c r="K4" s="2266"/>
    </row>
    <row r="5" spans="1:13" ht="12" customHeight="1">
      <c r="A5" s="809">
        <v>1</v>
      </c>
      <c r="C5" s="809" t="s">
        <v>3112</v>
      </c>
      <c r="E5" s="864" t="str">
        <f>Overview!H9</f>
        <v>Hillcrest Apartments, L.P.</v>
      </c>
      <c r="J5" s="2266"/>
      <c r="K5" s="2266"/>
    </row>
    <row r="6" spans="1:13" ht="3" customHeight="1">
      <c r="H6" s="826"/>
      <c r="J6" s="2266"/>
      <c r="K6" s="2266"/>
    </row>
    <row r="7" spans="1:13" ht="12" customHeight="1">
      <c r="A7" s="809">
        <v>2</v>
      </c>
      <c r="C7" s="809" t="s">
        <v>3113</v>
      </c>
      <c r="E7" s="864" t="str">
        <f>'Part II-Development Team'!H6</f>
        <v>135 North Washington street</v>
      </c>
      <c r="J7" s="2266"/>
      <c r="K7" s="2266"/>
    </row>
    <row r="8" spans="1:13" ht="12" customHeight="1">
      <c r="E8" s="864" t="str">
        <f>+'Part II-Development Team'!H7&amp;","&amp;" "&amp;'Part II-Development Team'!H8&amp;" "&amp;LEFT('Part II-Development Team'!J8,5)</f>
        <v>Summerville, GA 30747</v>
      </c>
      <c r="J8" s="2266"/>
      <c r="K8" s="2266"/>
    </row>
    <row r="9" spans="1:13" ht="12" customHeight="1">
      <c r="C9" s="809" t="s">
        <v>3114</v>
      </c>
      <c r="E9" s="2265">
        <f>'Part II-Development Team'!L7</f>
        <v>0</v>
      </c>
      <c r="F9" s="2265"/>
      <c r="J9" s="2266"/>
      <c r="K9" s="2266"/>
    </row>
    <row r="10" spans="1:13" ht="12" customHeight="1">
      <c r="C10" s="809" t="s">
        <v>3115</v>
      </c>
      <c r="E10" s="864" t="str">
        <f>'Part II-Development Team'!Q5</f>
        <v>Jerry W. Braden</v>
      </c>
    </row>
    <row r="11" spans="1:13" ht="12" customHeight="1">
      <c r="C11" s="809" t="s">
        <v>4321</v>
      </c>
      <c r="E11" s="864" t="str">
        <f>'Part II-Development Team'!L9</f>
        <v>jerry@thebradengroup.com</v>
      </c>
    </row>
    <row r="12" spans="1:13" ht="12" customHeight="1">
      <c r="C12" s="809" t="s">
        <v>4317</v>
      </c>
      <c r="E12" s="1475">
        <f>'Part II-Development Team'!H9</f>
        <v>7068571414</v>
      </c>
    </row>
    <row r="13" spans="1:13" ht="12" customHeight="1">
      <c r="C13" s="809" t="s">
        <v>4320</v>
      </c>
      <c r="E13" s="1475">
        <f>'Part II-Development Team'!Q7</f>
        <v>7068571414</v>
      </c>
    </row>
    <row r="14" spans="1:13" ht="3" customHeight="1"/>
    <row r="15" spans="1:13" ht="12" customHeight="1">
      <c r="A15" s="809">
        <v>3</v>
      </c>
      <c r="C15" s="809" t="s">
        <v>3116</v>
      </c>
      <c r="E15" s="864" t="str">
        <f>Overview!C8</f>
        <v>Hillcrest Apartments</v>
      </c>
    </row>
    <row r="16" spans="1:13" ht="12" customHeight="1">
      <c r="C16" s="809" t="s">
        <v>3117</v>
      </c>
      <c r="E16" s="864" t="str">
        <f>'Part I-Project Information'!$F$35</f>
        <v>208 Hillcrest Drive</v>
      </c>
    </row>
    <row r="17" spans="1:8" ht="12" customHeight="1">
      <c r="E17" s="864" t="str">
        <f>+'Part I-Project Information'!$F$38&amp;","&amp;" GA "&amp;LEFT('Part I-Project Information'!$J$38,5)</f>
        <v>Dublin, GA 31021</v>
      </c>
    </row>
    <row r="18" spans="1:8" ht="3" customHeight="1"/>
    <row r="19" spans="1:8" ht="12" customHeight="1">
      <c r="A19" s="809">
        <v>4</v>
      </c>
      <c r="C19" s="809" t="s">
        <v>3118</v>
      </c>
      <c r="E19" s="864" t="str">
        <f>'Part II-Development Team'!H92</f>
        <v>Boyd Management Company</v>
      </c>
    </row>
    <row r="20" spans="1:8" ht="12" customHeight="1">
      <c r="C20" s="809" t="s">
        <v>3119</v>
      </c>
      <c r="E20" s="864" t="str">
        <f>'Part II-Development Team'!H93</f>
        <v>P.O. Box 23589</v>
      </c>
    </row>
    <row r="21" spans="1:8" ht="12" customHeight="1">
      <c r="E21" s="864" t="str">
        <f>+'Part II-Development Team'!H94&amp;","&amp;" "&amp;'Part II-Development Team'!H95&amp;" "&amp;LEFT('Part II-Development Team'!L95,5)</f>
        <v>Columbia, SC 29224</v>
      </c>
    </row>
    <row r="22" spans="1:8" ht="12" customHeight="1">
      <c r="C22" s="809" t="s">
        <v>4317</v>
      </c>
      <c r="E22" s="1475">
        <f>'Part II-Development Team'!H96</f>
        <v>8037883800</v>
      </c>
    </row>
    <row r="23" spans="1:8" ht="12" customHeight="1">
      <c r="C23" s="809" t="s">
        <v>4320</v>
      </c>
      <c r="E23" s="1475">
        <f>'Part II-Development Team'!Q94</f>
        <v>8037883800</v>
      </c>
    </row>
    <row r="24" spans="1:8" ht="12" customHeight="1">
      <c r="C24" s="809" t="s">
        <v>4321</v>
      </c>
      <c r="E24" s="1475" t="str">
        <f>'Part II-Development Team'!L96</f>
        <v>babbie.jaco@boydmanagement.com</v>
      </c>
    </row>
    <row r="25" spans="1:8" ht="3" customHeight="1">
      <c r="E25" s="864"/>
    </row>
    <row r="26" spans="1:8" ht="12" customHeight="1">
      <c r="A26" s="809">
        <v>5</v>
      </c>
      <c r="C26" s="809" t="s">
        <v>3120</v>
      </c>
      <c r="E26" s="864" t="str">
        <f>Overview!$H$7</f>
        <v>Acquisition/Rehabilitation</v>
      </c>
    </row>
    <row r="27" spans="1:8" ht="12" customHeight="1">
      <c r="E27" s="1473" t="s">
        <v>1783</v>
      </c>
    </row>
    <row r="28" spans="1:8" ht="12" customHeight="1">
      <c r="C28" s="809" t="s">
        <v>3528</v>
      </c>
      <c r="E28" s="809" t="str">
        <f>Overview!$C$9</f>
        <v>&lt;&lt;Select&gt;&gt;</v>
      </c>
    </row>
    <row r="29" spans="1:8" ht="3" customHeight="1">
      <c r="H29" s="886"/>
    </row>
    <row r="30" spans="1:8" ht="12" customHeight="1">
      <c r="A30" s="809">
        <v>6</v>
      </c>
      <c r="C30" s="809" t="s">
        <v>3121</v>
      </c>
      <c r="E30" s="809" t="s">
        <v>2424</v>
      </c>
      <c r="F30" s="1476">
        <f>'Part III-Sources of Funds'!L19</f>
        <v>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2424</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2424</v>
      </c>
      <c r="F39" s="854">
        <f>'Part III-Sources of Funds'!L37*12</f>
        <v>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2424</v>
      </c>
      <c r="F45" s="864" t="s">
        <v>3134</v>
      </c>
    </row>
    <row r="46" spans="1:7" ht="3" customHeight="1">
      <c r="F46" s="826"/>
    </row>
    <row r="47" spans="1:7" ht="12" customHeight="1">
      <c r="A47" s="809">
        <v>14</v>
      </c>
      <c r="C47" s="809" t="s">
        <v>3135</v>
      </c>
      <c r="E47" s="864" t="str">
        <f>'Part II-Development Team'!H14</f>
        <v>Braden Laurens LLC</v>
      </c>
    </row>
    <row r="48" spans="1:7" ht="3" customHeight="1">
      <c r="E48" s="864"/>
    </row>
    <row r="49" spans="1:7" ht="12" customHeight="1">
      <c r="A49" s="809">
        <v>15</v>
      </c>
      <c r="C49" s="809" t="s">
        <v>4323</v>
      </c>
      <c r="E49" s="864" t="str">
        <f>'Part II-Development Team'!Q98</f>
        <v>Tom Kurrie</v>
      </c>
      <c r="G49" s="864" t="str">
        <f>'Part II-Development Team'!H98</f>
        <v>Coleman Law Firm</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48</v>
      </c>
    </row>
    <row r="53" spans="1:7" ht="3" customHeight="1">
      <c r="F53" s="854"/>
    </row>
    <row r="54" spans="1:7" ht="12" customHeight="1">
      <c r="A54" s="882">
        <v>17</v>
      </c>
      <c r="B54" s="882"/>
      <c r="C54" s="882" t="s">
        <v>3138</v>
      </c>
      <c r="D54" s="882"/>
      <c r="E54" s="882"/>
      <c r="F54" s="1482">
        <f>'Subsidy Layering WS'!K18</f>
        <v>48</v>
      </c>
      <c r="G54" s="882"/>
    </row>
    <row r="55" spans="1:7" ht="3" customHeight="1">
      <c r="F55" s="854"/>
    </row>
    <row r="56" spans="1:7" ht="12" customHeight="1">
      <c r="A56" s="809">
        <v>18</v>
      </c>
      <c r="C56" s="809" t="s">
        <v>3139</v>
      </c>
      <c r="F56" s="1482">
        <f>'Part VI-Revenues &amp; Expenses'!O61</f>
        <v>0</v>
      </c>
      <c r="G56" s="809" t="s">
        <v>4322</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978</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Hillcrest Apartments,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2424</v>
      </c>
      <c r="F69" s="854">
        <v>20</v>
      </c>
      <c r="G69" s="809" t="s">
        <v>2484</v>
      </c>
    </row>
    <row r="70" spans="1:7" ht="3" customHeight="1"/>
    <row r="71" spans="1:7" ht="12" customHeight="1">
      <c r="A71" s="809">
        <v>25</v>
      </c>
      <c r="C71" s="809" t="s">
        <v>3147</v>
      </c>
      <c r="F71" s="1487">
        <f>'Part IV-A-Uses of Funds'!$G$122</f>
        <v>76913</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38457</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7" t="s">
        <v>3340</v>
      </c>
      <c r="B1" s="2267"/>
      <c r="C1" s="2267"/>
      <c r="D1" s="2267"/>
      <c r="E1" s="2267"/>
      <c r="F1" s="2267"/>
      <c r="G1" s="2267"/>
      <c r="H1" s="2267"/>
      <c r="I1" s="2267"/>
      <c r="J1" s="2267"/>
    </row>
    <row r="2" spans="1:13" ht="15">
      <c r="A2" s="2267" t="str">
        <f>Overview!E8&amp;"  "&amp;Overview!C8</f>
        <v>2018-032  Hillcrest Apartments</v>
      </c>
      <c r="B2" s="2267"/>
      <c r="C2" s="2267"/>
      <c r="D2" s="2267"/>
      <c r="E2" s="2267"/>
      <c r="F2" s="2267"/>
      <c r="G2" s="2267"/>
      <c r="H2" s="2267"/>
      <c r="I2" s="2267"/>
      <c r="J2" s="2267"/>
    </row>
    <row r="3" spans="1:13" ht="6" customHeight="1">
      <c r="K3" s="2266" t="s">
        <v>4316</v>
      </c>
      <c r="L3" s="2266"/>
      <c r="M3" s="2266"/>
    </row>
    <row r="4" spans="1:13" ht="12" customHeight="1">
      <c r="A4" s="850" t="s">
        <v>3151</v>
      </c>
      <c r="K4" s="2266"/>
      <c r="L4" s="2266"/>
      <c r="M4" s="2266"/>
    </row>
    <row r="5" spans="1:13" ht="12" customHeight="1">
      <c r="A5" s="809" t="s">
        <v>3152</v>
      </c>
      <c r="C5" s="851" t="str">
        <f>'Subsidy Layering Memo'!D6</f>
        <v>(Underwriter)</v>
      </c>
      <c r="I5" s="851"/>
      <c r="K5" s="2266"/>
      <c r="L5" s="2266"/>
      <c r="M5" s="2266"/>
    </row>
    <row r="6" spans="1:13" ht="6" customHeight="1">
      <c r="C6" s="746"/>
      <c r="D6" s="851"/>
      <c r="I6" s="851"/>
      <c r="K6" s="2266"/>
      <c r="L6" s="2266"/>
      <c r="M6" s="2266"/>
    </row>
    <row r="7" spans="1:13" ht="12" customHeight="1">
      <c r="A7" s="850" t="s">
        <v>3153</v>
      </c>
      <c r="C7" s="746"/>
      <c r="D7" s="851"/>
      <c r="I7" s="851"/>
      <c r="K7" s="2266"/>
      <c r="L7" s="2266"/>
      <c r="M7" s="2266"/>
    </row>
    <row r="8" spans="1:13" ht="12" customHeight="1">
      <c r="A8" s="809" t="s">
        <v>3154</v>
      </c>
      <c r="C8" s="851" t="str">
        <f>Overview!$H$9</f>
        <v>Hillcrest Apartments, L.P.</v>
      </c>
      <c r="I8" s="851"/>
      <c r="K8" s="2266"/>
      <c r="L8" s="2266"/>
      <c r="M8" s="2266"/>
    </row>
    <row r="9" spans="1:13" ht="3" customHeight="1">
      <c r="C9" s="746"/>
      <c r="D9" s="851"/>
      <c r="I9" s="851"/>
    </row>
    <row r="10" spans="1:13" ht="12" customHeight="1">
      <c r="A10" s="809" t="s">
        <v>3155</v>
      </c>
      <c r="C10" s="1419" t="s">
        <v>1783</v>
      </c>
      <c r="I10" s="851"/>
    </row>
    <row r="11" spans="1:13" ht="12" customHeight="1">
      <c r="C11" s="1419" t="s">
        <v>1783</v>
      </c>
      <c r="I11" s="851"/>
    </row>
    <row r="12" spans="1:13" ht="12" customHeight="1">
      <c r="C12" s="851" t="s">
        <v>2695</v>
      </c>
      <c r="D12" s="872" t="s">
        <v>1783</v>
      </c>
      <c r="I12" s="851"/>
    </row>
    <row r="13" spans="1:13" ht="12" customHeight="1">
      <c r="C13" s="851" t="s">
        <v>3156</v>
      </c>
      <c r="D13" s="2270"/>
      <c r="E13" s="2270"/>
      <c r="F13" s="2270"/>
      <c r="G13" s="2270"/>
      <c r="H13" s="2270"/>
      <c r="I13" s="2270"/>
      <c r="J13" s="2270"/>
    </row>
    <row r="14" spans="1:13" ht="3" customHeight="1">
      <c r="G14" s="746"/>
      <c r="H14" s="851"/>
      <c r="I14" s="851"/>
    </row>
    <row r="15" spans="1:13" ht="12" customHeight="1">
      <c r="A15" s="809" t="s">
        <v>3157</v>
      </c>
      <c r="C15" s="853" t="str">
        <f>'Preview term'!E10</f>
        <v>Jerry W. Braden</v>
      </c>
      <c r="G15" s="746"/>
      <c r="I15" s="851"/>
    </row>
    <row r="16" spans="1:13" ht="12" customHeight="1">
      <c r="A16" s="864" t="s">
        <v>4532</v>
      </c>
      <c r="C16" s="853" t="str">
        <f>'Part II-Development Team'!Q6</f>
        <v>Member</v>
      </c>
      <c r="G16" s="746"/>
      <c r="I16" s="851"/>
    </row>
    <row r="17" spans="1:9" ht="3" customHeight="1">
      <c r="G17" s="746"/>
      <c r="H17" s="851"/>
      <c r="I17" s="851"/>
    </row>
    <row r="18" spans="1:9" ht="12" customHeight="1">
      <c r="A18" s="809" t="s">
        <v>3158</v>
      </c>
      <c r="C18" s="853" t="str">
        <f>'Preview term'!$E$7</f>
        <v>135 North Washington street</v>
      </c>
      <c r="G18" s="746"/>
      <c r="I18" s="851"/>
    </row>
    <row r="19" spans="1:9" ht="12" customHeight="1">
      <c r="C19" s="853" t="str">
        <f>'Preview term'!$E$8</f>
        <v>Summerville, GA 30747</v>
      </c>
      <c r="G19" s="746"/>
      <c r="I19" s="851"/>
    </row>
    <row r="20" spans="1:9" ht="3" customHeight="1">
      <c r="G20" s="746"/>
      <c r="H20" s="851"/>
      <c r="I20" s="851"/>
    </row>
    <row r="21" spans="1:9" ht="12" customHeight="1">
      <c r="A21" s="809" t="s">
        <v>3159</v>
      </c>
      <c r="C21" s="853" t="str">
        <f>CONCATENATE('Preview term'!E49," of  ",'Preview term'!G49)</f>
        <v>Tom Kurrie of  Coleman Law Firm</v>
      </c>
      <c r="G21" s="746"/>
      <c r="I21" s="851"/>
    </row>
    <row r="22" spans="1:9" ht="3" customHeight="1">
      <c r="C22" s="853"/>
      <c r="G22" s="746"/>
      <c r="I22" s="851"/>
    </row>
    <row r="23" spans="1:9" ht="12" customHeight="1">
      <c r="A23" s="809" t="s">
        <v>3160</v>
      </c>
      <c r="C23" s="853">
        <f>'Preview term'!E12</f>
        <v>7068571414</v>
      </c>
      <c r="G23" s="746"/>
      <c r="I23" s="851"/>
    </row>
    <row r="24" spans="1:9" ht="3" customHeight="1">
      <c r="C24" s="853"/>
      <c r="G24" s="746"/>
      <c r="I24" s="851"/>
    </row>
    <row r="25" spans="1:9" ht="12" customHeight="1">
      <c r="A25" s="809" t="s">
        <v>3161</v>
      </c>
      <c r="C25" s="1421" t="str">
        <f>'Preview term'!E11</f>
        <v>jerry@thebradengroup.com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Hillcrest Apartments</v>
      </c>
      <c r="I28" s="851"/>
    </row>
    <row r="29" spans="1:9" ht="3" customHeight="1">
      <c r="C29" s="853"/>
      <c r="I29" s="851"/>
    </row>
    <row r="30" spans="1:9" ht="12" customHeight="1">
      <c r="A30" s="809" t="s">
        <v>3164</v>
      </c>
      <c r="C30" s="853" t="str">
        <f>'Preview term'!E16</f>
        <v>208 Hillcrest Drive</v>
      </c>
      <c r="I30" s="851"/>
    </row>
    <row r="31" spans="1:9">
      <c r="C31" s="851" t="str">
        <f>'Preview term'!E17</f>
        <v>Dublin, GA 31021</v>
      </c>
      <c r="I31" s="851"/>
    </row>
    <row r="32" spans="1:9" ht="3" customHeight="1">
      <c r="C32" s="746"/>
      <c r="D32" s="746"/>
      <c r="I32" s="746"/>
    </row>
    <row r="33" spans="1:10" ht="12" customHeight="1">
      <c r="A33" s="809" t="s">
        <v>3165</v>
      </c>
      <c r="C33" s="746" t="s">
        <v>3166</v>
      </c>
      <c r="D33" s="1420">
        <f>'Preview term'!F54</f>
        <v>48</v>
      </c>
      <c r="I33" s="746"/>
    </row>
    <row r="34" spans="1:10" ht="12" customHeight="1">
      <c r="C34" s="746" t="s">
        <v>3167</v>
      </c>
      <c r="D34" s="855">
        <f>'Subsidy Layering WS'!H12-'Subsidy Layering WS'!D12</f>
        <v>0</v>
      </c>
      <c r="I34" s="746"/>
    </row>
    <row r="35" spans="1:10" ht="12" customHeight="1">
      <c r="C35" s="746" t="s">
        <v>3168</v>
      </c>
      <c r="D35" s="856">
        <f>SUM(D33:D34)</f>
        <v>48</v>
      </c>
      <c r="I35" s="746"/>
    </row>
    <row r="36" spans="1:10" ht="3" customHeight="1">
      <c r="C36" s="746"/>
      <c r="D36" s="746"/>
      <c r="I36" s="746"/>
    </row>
    <row r="37" spans="1:10" ht="12" customHeight="1">
      <c r="A37" s="809" t="s">
        <v>3169</v>
      </c>
      <c r="C37" s="1485" t="s">
        <v>1783</v>
      </c>
      <c r="D37" s="1418">
        <f>'Preview term'!F56</f>
        <v>0</v>
      </c>
      <c r="E37" s="746" t="s">
        <v>3170</v>
      </c>
      <c r="I37" s="746"/>
    </row>
    <row r="38" spans="1:10" ht="3" customHeight="1">
      <c r="G38" s="857"/>
      <c r="H38" s="746"/>
      <c r="I38" s="746"/>
    </row>
    <row r="39" spans="1:10" ht="25.5" customHeight="1">
      <c r="A39" s="858" t="s">
        <v>3171</v>
      </c>
      <c r="C39" s="2268"/>
      <c r="D39" s="2268"/>
      <c r="E39" s="2268"/>
      <c r="F39" s="2268"/>
      <c r="G39" s="2268"/>
      <c r="H39" s="2268"/>
      <c r="I39" s="2268"/>
      <c r="J39" s="2268"/>
    </row>
    <row r="40" spans="1:10" ht="3" customHeight="1">
      <c r="G40" s="746"/>
      <c r="H40" s="746"/>
      <c r="I40" s="746"/>
    </row>
    <row r="41" spans="1:10" ht="25.5" customHeight="1">
      <c r="A41" s="858" t="s">
        <v>3172</v>
      </c>
      <c r="C41" s="2269" t="s">
        <v>3533</v>
      </c>
      <c r="D41" s="2269"/>
      <c r="E41" s="2269"/>
      <c r="F41" s="2269"/>
      <c r="G41" s="2269"/>
      <c r="H41" s="2269"/>
      <c r="I41" s="2269"/>
      <c r="J41" s="2269"/>
    </row>
    <row r="42" spans="1:10" ht="3" customHeight="1">
      <c r="C42" s="591"/>
      <c r="D42" s="591"/>
      <c r="E42" s="591"/>
      <c r="F42" s="591"/>
      <c r="G42" s="591"/>
      <c r="H42" s="592"/>
      <c r="I42" s="593"/>
      <c r="J42" s="592"/>
    </row>
    <row r="43" spans="1:10" ht="12" customHeight="1">
      <c r="A43" s="809" t="s">
        <v>3173</v>
      </c>
      <c r="C43" s="678" t="str">
        <f>'Part I-Project Information'!J39</f>
        <v>Laurens</v>
      </c>
      <c r="D43" s="591"/>
      <c r="F43" s="592"/>
      <c r="I43" s="593"/>
      <c r="J43" s="592"/>
    </row>
    <row r="44" spans="1:10" ht="3" customHeight="1">
      <c r="C44" s="591"/>
      <c r="D44" s="591"/>
      <c r="E44" s="591"/>
      <c r="F44" s="592"/>
      <c r="I44" s="593"/>
      <c r="J44" s="592"/>
    </row>
    <row r="45" spans="1:10" ht="12" customHeight="1">
      <c r="A45" s="809" t="s">
        <v>3174</v>
      </c>
      <c r="C45" s="872" t="s">
        <v>1783</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9" t="s">
        <v>579</v>
      </c>
      <c r="D49" s="2269"/>
      <c r="E49" s="2269"/>
      <c r="F49" s="2269"/>
      <c r="G49" s="2269"/>
      <c r="H49" s="2269"/>
      <c r="I49" s="2269"/>
      <c r="J49" s="2269"/>
    </row>
    <row r="50" spans="1:10" ht="12" customHeight="1">
      <c r="C50" s="2274" t="s">
        <v>1820</v>
      </c>
      <c r="D50" s="2274"/>
      <c r="E50" s="2274"/>
      <c r="F50" s="2274"/>
      <c r="G50" s="2274"/>
      <c r="H50" s="2274"/>
      <c r="I50" s="2274"/>
      <c r="J50" s="2274"/>
    </row>
    <row r="51" spans="1:10" ht="3" customHeight="1">
      <c r="D51" s="861"/>
      <c r="E51" s="861"/>
      <c r="F51" s="861"/>
      <c r="G51" s="862"/>
      <c r="H51" s="746"/>
      <c r="I51" s="861"/>
      <c r="J51" s="861"/>
    </row>
    <row r="52" spans="1:10" ht="12" customHeight="1">
      <c r="A52" s="858" t="s">
        <v>3177</v>
      </c>
      <c r="B52" s="858"/>
      <c r="C52" s="863" t="s">
        <v>3178</v>
      </c>
      <c r="D52" s="863" t="s">
        <v>3534</v>
      </c>
      <c r="E52" s="2275"/>
      <c r="F52" s="2275"/>
      <c r="G52" s="2275"/>
      <c r="H52" s="2275"/>
      <c r="I52" s="2275"/>
      <c r="J52" s="2275"/>
    </row>
    <row r="53" spans="1:10" ht="12" customHeight="1">
      <c r="A53" s="858"/>
      <c r="B53" s="858"/>
      <c r="C53" s="858"/>
      <c r="D53" s="863" t="s">
        <v>3535</v>
      </c>
      <c r="E53" s="2276"/>
      <c r="F53" s="2276"/>
      <c r="G53" s="2276"/>
      <c r="H53" s="2276"/>
      <c r="I53" s="2276"/>
      <c r="J53" s="2276"/>
    </row>
    <row r="54" spans="1:10" ht="12" customHeight="1">
      <c r="A54" s="850" t="s">
        <v>3179</v>
      </c>
      <c r="G54" s="746"/>
      <c r="H54" s="746"/>
      <c r="I54" s="746"/>
    </row>
    <row r="55" spans="1:10" ht="18" customHeight="1">
      <c r="A55" s="809" t="s">
        <v>3180</v>
      </c>
      <c r="C55" s="852" t="str">
        <f>Overview!C10</f>
        <v>Braden Laurens LLC</v>
      </c>
      <c r="G55" s="746"/>
      <c r="I55" s="746"/>
    </row>
    <row r="56" spans="1:10" ht="3" customHeight="1">
      <c r="C56" s="852"/>
      <c r="G56" s="746"/>
      <c r="I56" s="746"/>
    </row>
    <row r="57" spans="1:10" ht="12" customHeight="1">
      <c r="A57" s="809" t="s">
        <v>3181</v>
      </c>
      <c r="C57" s="852" t="str">
        <f>Overview!C11</f>
        <v>None</v>
      </c>
      <c r="E57" s="852" t="str">
        <f>Overview!E11</f>
        <v>None</v>
      </c>
      <c r="G57" s="746"/>
      <c r="I57" s="746"/>
    </row>
    <row r="58" spans="1:10" ht="3" customHeight="1">
      <c r="C58" s="852"/>
      <c r="G58" s="746"/>
      <c r="I58" s="746"/>
    </row>
    <row r="59" spans="1:10" ht="12" customHeight="1">
      <c r="A59" s="809" t="s">
        <v>3182</v>
      </c>
      <c r="C59" s="852" t="s">
        <v>2841</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0</v>
      </c>
      <c r="G62" s="746"/>
      <c r="I62" s="746"/>
    </row>
    <row r="63" spans="1:10" ht="3" customHeight="1">
      <c r="D63" s="864"/>
      <c r="G63" s="746"/>
      <c r="H63" s="865"/>
      <c r="I63" s="746"/>
    </row>
    <row r="64" spans="1:10" ht="12" customHeight="1">
      <c r="A64" s="809" t="s">
        <v>3186</v>
      </c>
      <c r="C64" s="809" t="s">
        <v>3188</v>
      </c>
      <c r="D64" s="852" t="s">
        <v>978</v>
      </c>
      <c r="G64" s="746"/>
      <c r="I64" s="746"/>
    </row>
    <row r="65" spans="1:10" ht="3" customHeight="1">
      <c r="D65" s="864"/>
      <c r="G65" s="746"/>
      <c r="H65" s="746"/>
      <c r="I65" s="746"/>
    </row>
    <row r="66" spans="1:10" ht="12" customHeight="1">
      <c r="A66" s="809" t="s">
        <v>3189</v>
      </c>
      <c r="C66" s="1423" t="s">
        <v>1783</v>
      </c>
      <c r="D66" s="878"/>
      <c r="I66" s="746"/>
    </row>
    <row r="67" spans="1:10" ht="12" customHeight="1">
      <c r="C67" s="809" t="s">
        <v>3190</v>
      </c>
      <c r="D67" s="1472" t="s">
        <v>1783</v>
      </c>
      <c r="I67" s="746"/>
    </row>
    <row r="68" spans="1:10" ht="12" customHeight="1">
      <c r="C68" s="809" t="s">
        <v>3156</v>
      </c>
      <c r="D68" s="2270"/>
      <c r="E68" s="2270"/>
      <c r="F68" s="2270"/>
      <c r="G68" s="2270"/>
      <c r="H68" s="2270"/>
      <c r="I68" s="2270"/>
      <c r="J68" s="2270"/>
    </row>
    <row r="69" spans="1:10" ht="3" customHeight="1">
      <c r="D69" s="864"/>
      <c r="E69" s="746"/>
      <c r="F69" s="746"/>
      <c r="I69" s="746"/>
    </row>
    <row r="70" spans="1:10" ht="12" customHeight="1">
      <c r="A70" s="809" t="s">
        <v>3191</v>
      </c>
      <c r="C70" s="809" t="s">
        <v>2424</v>
      </c>
      <c r="D70" s="872" t="s">
        <v>1783</v>
      </c>
      <c r="I70" s="746"/>
    </row>
    <row r="71" spans="1:10" ht="3" customHeight="1">
      <c r="D71" s="746"/>
      <c r="E71" s="746"/>
      <c r="I71" s="746"/>
    </row>
    <row r="72" spans="1:10" ht="12" customHeight="1">
      <c r="A72" s="809" t="s">
        <v>3192</v>
      </c>
      <c r="C72" s="1423" t="s">
        <v>1783</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2424</v>
      </c>
      <c r="D79" s="870">
        <f>'Preview term'!F39</f>
        <v>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978</v>
      </c>
      <c r="E83" s="746" t="s">
        <v>3199</v>
      </c>
      <c r="G83" s="746"/>
    </row>
    <row r="84" spans="1:9" ht="3" customHeight="1">
      <c r="G84" s="746"/>
      <c r="H84" s="746"/>
      <c r="I84" s="746"/>
    </row>
    <row r="85" spans="1:9" ht="12" customHeight="1">
      <c r="A85" s="809" t="s">
        <v>3200</v>
      </c>
      <c r="C85" s="1422" t="str">
        <f>'Part VII-Pro Forma'!K67</f>
        <v/>
      </c>
      <c r="D85" s="873" t="s">
        <v>3536</v>
      </c>
      <c r="I85" s="746"/>
    </row>
    <row r="86" spans="1:9" ht="3" customHeight="1">
      <c r="C86" s="746" t="s">
        <v>1783</v>
      </c>
      <c r="D86" s="746"/>
      <c r="E86" s="746"/>
      <c r="I86" s="746"/>
    </row>
    <row r="87" spans="1:9" ht="12" customHeight="1">
      <c r="A87" s="809" t="s">
        <v>3201</v>
      </c>
      <c r="B87" s="874"/>
      <c r="C87" s="1423" t="s">
        <v>1783</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978</v>
      </c>
      <c r="I90" s="746"/>
    </row>
    <row r="91" spans="1:9" ht="3" customHeight="1">
      <c r="G91" s="746"/>
      <c r="H91" s="746"/>
      <c r="I91" s="746"/>
    </row>
    <row r="92" spans="1:9" ht="12" customHeight="1">
      <c r="A92" s="809" t="s">
        <v>3205</v>
      </c>
      <c r="C92" s="864" t="s">
        <v>3194</v>
      </c>
      <c r="D92" s="746" t="s">
        <v>3206</v>
      </c>
      <c r="E92" s="864">
        <f>'Part III-Sources of Funds'!H19</f>
        <v>0</v>
      </c>
      <c r="I92" s="746"/>
    </row>
    <row r="93" spans="1:9" ht="12" customHeight="1">
      <c r="C93" s="878"/>
      <c r="D93" s="746"/>
      <c r="E93" s="864" t="s">
        <v>1809</v>
      </c>
      <c r="F93" s="2277"/>
      <c r="G93" s="2277"/>
      <c r="H93" s="2277"/>
      <c r="I93" s="746"/>
    </row>
    <row r="94" spans="1:9" ht="12" customHeight="1">
      <c r="C94" s="864"/>
      <c r="D94" s="746"/>
      <c r="E94" s="864" t="s">
        <v>1997</v>
      </c>
      <c r="F94" s="2278"/>
      <c r="G94" s="2278"/>
      <c r="H94" s="2278"/>
      <c r="I94" s="746"/>
    </row>
    <row r="95" spans="1:9" ht="12" customHeight="1">
      <c r="C95" s="864"/>
      <c r="D95" s="746"/>
      <c r="E95" s="864" t="s">
        <v>1812</v>
      </c>
      <c r="F95" s="2273"/>
      <c r="G95" s="2273"/>
      <c r="H95" s="2273"/>
      <c r="I95" s="746"/>
    </row>
    <row r="96" spans="1:9" ht="12" customHeight="1">
      <c r="B96" s="854"/>
      <c r="C96" s="867" t="s">
        <v>3352</v>
      </c>
      <c r="D96" s="746" t="s">
        <v>3206</v>
      </c>
      <c r="E96" s="864">
        <f>'Part III-Sources of Funds'!E37</f>
        <v>0</v>
      </c>
      <c r="I96" s="746"/>
    </row>
    <row r="97" spans="1:10" ht="12" customHeight="1">
      <c r="C97" s="864"/>
      <c r="D97" s="746"/>
      <c r="E97" s="864" t="s">
        <v>1809</v>
      </c>
      <c r="F97" s="2277"/>
      <c r="G97" s="2277"/>
      <c r="H97" s="2277"/>
      <c r="I97" s="746"/>
    </row>
    <row r="98" spans="1:10" ht="12" customHeight="1">
      <c r="C98" s="864"/>
      <c r="D98" s="746"/>
      <c r="E98" s="864" t="s">
        <v>1997</v>
      </c>
      <c r="F98" s="2278"/>
      <c r="G98" s="2278"/>
      <c r="H98" s="2278"/>
      <c r="I98" s="746"/>
    </row>
    <row r="99" spans="1:10" ht="12" customHeight="1">
      <c r="C99" s="864"/>
      <c r="D99" s="746"/>
      <c r="E99" s="864" t="s">
        <v>1812</v>
      </c>
      <c r="F99" s="2273"/>
      <c r="G99" s="2273"/>
      <c r="H99" s="2273"/>
      <c r="I99" s="746"/>
    </row>
    <row r="100" spans="1:10" ht="3" customHeight="1">
      <c r="D100" s="875"/>
      <c r="G100" s="746"/>
      <c r="H100" s="746"/>
      <c r="I100" s="746"/>
    </row>
    <row r="101" spans="1:10" ht="12" customHeight="1">
      <c r="A101" s="809" t="s">
        <v>3207</v>
      </c>
      <c r="D101" s="1472" t="str">
        <f>'Part IX A-Scoring Criteria'!O318</f>
        <v>No</v>
      </c>
      <c r="E101" s="746" t="s">
        <v>3187</v>
      </c>
      <c r="G101" s="809">
        <f>'Part IX A-Scoring Criteria'!O316</f>
        <v>0</v>
      </c>
      <c r="H101" s="809" t="s">
        <v>3537</v>
      </c>
      <c r="I101" s="746"/>
    </row>
    <row r="102" spans="1:10" ht="3" customHeight="1">
      <c r="E102" s="746"/>
      <c r="F102" s="746"/>
      <c r="I102" s="746"/>
    </row>
    <row r="103" spans="1:10" ht="12" customHeight="1">
      <c r="A103" s="746" t="s">
        <v>3353</v>
      </c>
      <c r="D103" s="809" t="s">
        <v>978</v>
      </c>
      <c r="E103" s="746"/>
      <c r="I103" s="746"/>
    </row>
    <row r="104" spans="1:10" ht="6" customHeight="1">
      <c r="G104" s="746"/>
      <c r="H104" s="746"/>
      <c r="I104" s="746"/>
    </row>
    <row r="105" spans="1:10" ht="12" customHeight="1">
      <c r="A105" s="850" t="s">
        <v>3354</v>
      </c>
      <c r="I105" s="746"/>
    </row>
    <row r="106" spans="1:10" ht="12" customHeight="1">
      <c r="A106" s="809" t="s">
        <v>3208</v>
      </c>
      <c r="C106" s="1427" t="s">
        <v>1783</v>
      </c>
      <c r="D106" s="2280"/>
      <c r="E106" s="2280"/>
      <c r="F106" s="2280"/>
      <c r="G106" s="2280"/>
      <c r="H106" s="2280"/>
      <c r="I106" s="2280"/>
      <c r="J106" s="2281"/>
    </row>
    <row r="107" spans="1:10" ht="3" customHeight="1">
      <c r="C107" s="864"/>
      <c r="D107" s="746"/>
      <c r="I107" s="746"/>
    </row>
    <row r="108" spans="1:10" ht="12" customHeight="1">
      <c r="A108" s="809" t="s">
        <v>3209</v>
      </c>
      <c r="C108" s="1472" t="s">
        <v>1783</v>
      </c>
    </row>
    <row r="109" spans="1:10" ht="3" customHeight="1">
      <c r="C109" s="864"/>
      <c r="E109" s="746"/>
      <c r="F109" s="746"/>
      <c r="I109" s="746"/>
    </row>
    <row r="110" spans="1:10" ht="12" customHeight="1">
      <c r="A110" s="809" t="s">
        <v>3210</v>
      </c>
      <c r="C110" s="1472" t="s">
        <v>1783</v>
      </c>
      <c r="I110" s="746"/>
    </row>
    <row r="111" spans="1:10" ht="3" customHeight="1">
      <c r="D111" s="857"/>
      <c r="I111" s="746"/>
    </row>
    <row r="112" spans="1:10" ht="12" customHeight="1">
      <c r="A112" s="809" t="s">
        <v>3211</v>
      </c>
      <c r="D112" s="870">
        <v>24</v>
      </c>
      <c r="E112" s="746" t="s">
        <v>3212</v>
      </c>
      <c r="I112" s="746"/>
    </row>
    <row r="113" spans="1:10" ht="12" customHeight="1">
      <c r="C113" s="852" t="s">
        <v>4325</v>
      </c>
      <c r="I113" s="746"/>
    </row>
    <row r="114" spans="1:10" ht="12" customHeight="1">
      <c r="C114" s="852" t="s">
        <v>4324</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1783</v>
      </c>
      <c r="D118" s="878"/>
      <c r="I118" s="746"/>
    </row>
    <row r="119" spans="1:10" ht="12" customHeight="1">
      <c r="C119" s="746" t="s">
        <v>3216</v>
      </c>
      <c r="D119" s="868"/>
      <c r="E119" s="2283" t="s">
        <v>4326</v>
      </c>
      <c r="F119" s="2283"/>
      <c r="G119" s="2283"/>
      <c r="H119" s="2283"/>
      <c r="I119" s="2283"/>
      <c r="J119" s="2283"/>
    </row>
    <row r="120" spans="1:10" ht="12" customHeight="1">
      <c r="C120" s="746" t="s">
        <v>3217</v>
      </c>
      <c r="D120" s="1429"/>
      <c r="E120" s="2283"/>
      <c r="F120" s="2283"/>
      <c r="G120" s="2283"/>
      <c r="H120" s="2283"/>
      <c r="I120" s="2283"/>
      <c r="J120" s="2283"/>
    </row>
    <row r="121" spans="1:10" ht="12" customHeight="1">
      <c r="C121" s="746" t="s">
        <v>3218</v>
      </c>
      <c r="D121" s="1429"/>
      <c r="E121" s="2283"/>
      <c r="F121" s="2283"/>
      <c r="G121" s="2283"/>
      <c r="H121" s="2283"/>
      <c r="I121" s="2283"/>
      <c r="J121" s="2283"/>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Braden Development LLC</v>
      </c>
      <c r="D130" s="852" t="str">
        <f>Overview!K11</f>
        <v>None</v>
      </c>
      <c r="G130" s="852" t="str">
        <f>Overview!M11</f>
        <v>None</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122670</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Boyd Management Company</v>
      </c>
      <c r="G137" s="746"/>
      <c r="I137" s="746"/>
      <c r="J137" s="881"/>
    </row>
    <row r="138" spans="1:10" ht="3" customHeight="1">
      <c r="C138" s="852"/>
      <c r="G138" s="746"/>
      <c r="I138" s="746"/>
    </row>
    <row r="139" spans="1:10" ht="12" customHeight="1">
      <c r="A139" s="809" t="s">
        <v>3229</v>
      </c>
      <c r="C139" s="853" t="str">
        <f>C8</f>
        <v>Hillcrest Apartments, L.P.</v>
      </c>
      <c r="G139" s="746"/>
      <c r="I139" s="851"/>
      <c r="J139" s="882"/>
    </row>
    <row r="140" spans="1:10" ht="3" customHeight="1">
      <c r="C140" s="853"/>
      <c r="G140" s="746"/>
      <c r="I140" s="851"/>
      <c r="J140" s="882"/>
    </row>
    <row r="141" spans="1:10" ht="12" customHeight="1">
      <c r="A141" s="809" t="s">
        <v>3230</v>
      </c>
      <c r="C141" s="853" t="str">
        <f>C18</f>
        <v>135 North Washington street</v>
      </c>
      <c r="G141" s="746"/>
      <c r="I141" s="851"/>
      <c r="J141" s="882"/>
    </row>
    <row r="142" spans="1:10">
      <c r="C142" s="853" t="str">
        <f>C19</f>
        <v>Summerville, GA 30747</v>
      </c>
      <c r="G142" s="746"/>
      <c r="I142" s="851"/>
      <c r="J142" s="882"/>
    </row>
    <row r="143" spans="1:10" ht="3" customHeight="1">
      <c r="C143" s="883"/>
      <c r="G143" s="746"/>
      <c r="I143" s="851"/>
      <c r="J143" s="882"/>
    </row>
    <row r="144" spans="1:10" ht="12" customHeight="1">
      <c r="A144" s="809" t="s">
        <v>3231</v>
      </c>
      <c r="C144" s="853" t="str">
        <f>Overview!H10</f>
        <v>Raymond James</v>
      </c>
      <c r="G144" s="746"/>
      <c r="I144" s="851"/>
      <c r="J144" s="881"/>
    </row>
    <row r="145" spans="1:10" ht="3" customHeight="1">
      <c r="C145" s="853"/>
      <c r="G145" s="746"/>
      <c r="I145" s="851"/>
      <c r="J145" s="882"/>
    </row>
    <row r="146" spans="1:10" ht="12" customHeight="1">
      <c r="A146" s="809" t="s">
        <v>3232</v>
      </c>
      <c r="C146" s="853" t="str">
        <f>Overview!K10</f>
        <v>Raymond James</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2424</v>
      </c>
    </row>
    <row r="157" spans="1:10" ht="3" customHeight="1">
      <c r="D157" s="746"/>
      <c r="E157" s="746"/>
      <c r="G157" s="746"/>
    </row>
    <row r="158" spans="1:10" ht="12" customHeight="1">
      <c r="A158" s="809" t="s">
        <v>3238</v>
      </c>
      <c r="C158" s="1423" t="s">
        <v>1783</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0"/>
      <c r="F164" s="2270"/>
      <c r="G164" s="2270"/>
      <c r="I164" s="746"/>
    </row>
    <row r="165" spans="1:13" ht="3" customHeight="1">
      <c r="E165" s="746"/>
      <c r="G165" s="746"/>
      <c r="I165" s="746"/>
    </row>
    <row r="166" spans="1:13" ht="12" customHeight="1">
      <c r="A166" s="809" t="s">
        <v>3241</v>
      </c>
      <c r="C166" s="809" t="s">
        <v>3242</v>
      </c>
      <c r="E166" s="885">
        <f>'Preview term'!F71</f>
        <v>76913</v>
      </c>
      <c r="G166" s="746"/>
      <c r="I166" s="746"/>
    </row>
    <row r="167" spans="1:13" ht="12" customHeight="1">
      <c r="C167" s="809" t="s">
        <v>3540</v>
      </c>
      <c r="E167" s="2270"/>
      <c r="F167" s="2270"/>
      <c r="G167" s="2270"/>
      <c r="I167" s="746"/>
    </row>
    <row r="168" spans="1:13" ht="12" customHeight="1">
      <c r="C168" s="809" t="s">
        <v>3243</v>
      </c>
      <c r="E168" s="852" t="s">
        <v>2841</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16800</v>
      </c>
      <c r="F172" s="851" t="s">
        <v>3246</v>
      </c>
      <c r="J172" s="882"/>
      <c r="K172" s="882"/>
      <c r="L172" s="882"/>
      <c r="M172" s="882"/>
    </row>
    <row r="173" spans="1:13">
      <c r="E173" s="885">
        <f>E172/12</f>
        <v>1400</v>
      </c>
      <c r="F173" s="746" t="s">
        <v>3098</v>
      </c>
    </row>
    <row r="174" spans="1:13" ht="12" customHeight="1">
      <c r="C174" s="809" t="s">
        <v>3541</v>
      </c>
      <c r="E174" s="2270"/>
      <c r="F174" s="2270"/>
      <c r="G174" s="2270"/>
      <c r="I174" s="746"/>
    </row>
    <row r="175" spans="1:13" ht="12" customHeight="1">
      <c r="C175" s="809" t="s">
        <v>3247</v>
      </c>
      <c r="E175" s="746" t="s">
        <v>3010</v>
      </c>
      <c r="I175" s="746"/>
    </row>
    <row r="176" spans="1:13" ht="12" customHeight="1">
      <c r="C176" s="809" t="s">
        <v>3248</v>
      </c>
      <c r="E176" s="746" t="s">
        <v>2841</v>
      </c>
      <c r="I176" s="746"/>
    </row>
    <row r="177" spans="1:10" ht="3" customHeight="1">
      <c r="E177" s="746"/>
      <c r="F177" s="746"/>
      <c r="I177" s="746"/>
    </row>
    <row r="178" spans="1:10" ht="12" customHeight="1">
      <c r="A178" s="809" t="s">
        <v>3342</v>
      </c>
      <c r="C178" s="809" t="s">
        <v>3343</v>
      </c>
      <c r="E178" s="872" t="s">
        <v>1783</v>
      </c>
      <c r="F178" s="886"/>
      <c r="I178" s="746"/>
    </row>
    <row r="179" spans="1:10" ht="12" customHeight="1">
      <c r="C179" s="809" t="s">
        <v>3249</v>
      </c>
      <c r="E179" s="872" t="s">
        <v>1783</v>
      </c>
      <c r="F179" s="2270"/>
      <c r="G179" s="2270"/>
      <c r="H179" s="2270"/>
      <c r="I179" s="2270"/>
      <c r="J179" s="2270"/>
    </row>
    <row r="180" spans="1:10" ht="12" customHeight="1">
      <c r="C180" s="809" t="s">
        <v>3542</v>
      </c>
      <c r="E180" s="746" t="s">
        <v>3187</v>
      </c>
      <c r="I180" s="746"/>
    </row>
    <row r="181" spans="1:10" ht="12" customHeight="1">
      <c r="C181" s="809" t="s">
        <v>3250</v>
      </c>
      <c r="E181" s="746" t="s">
        <v>2841</v>
      </c>
      <c r="I181" s="746"/>
    </row>
    <row r="182" spans="1:10" ht="3" customHeight="1">
      <c r="G182" s="746"/>
      <c r="H182" s="746"/>
      <c r="I182" s="746"/>
    </row>
    <row r="183" spans="1:10" ht="12" customHeight="1">
      <c r="A183" s="809" t="s">
        <v>3348</v>
      </c>
      <c r="C183" s="809" t="s">
        <v>3349</v>
      </c>
      <c r="E183" s="885">
        <f>'Preview term'!F75</f>
        <v>38457</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1783</v>
      </c>
      <c r="E195" s="746"/>
      <c r="F195" s="746"/>
      <c r="I195" s="746"/>
    </row>
    <row r="196" spans="1:10" ht="3" customHeight="1">
      <c r="G196" s="746"/>
      <c r="H196" s="746"/>
      <c r="I196" s="746"/>
    </row>
    <row r="197" spans="1:10">
      <c r="A197" s="858" t="s">
        <v>3544</v>
      </c>
      <c r="B197" s="858"/>
      <c r="C197" s="858"/>
      <c r="D197" s="858"/>
      <c r="E197" s="863" t="s">
        <v>3543</v>
      </c>
      <c r="F197" s="2282" t="str">
        <f>'Part VIII-Threshold Criteria'!E393</f>
        <v>nA</v>
      </c>
      <c r="G197" s="2282"/>
      <c r="H197" s="2282"/>
      <c r="I197" s="2282"/>
      <c r="J197" s="2282"/>
    </row>
    <row r="198" spans="1:10" ht="9" customHeight="1">
      <c r="G198" s="746"/>
      <c r="H198" s="746"/>
      <c r="I198" s="746"/>
    </row>
    <row r="199" spans="1:10" ht="12" customHeight="1">
      <c r="A199" s="887" t="s">
        <v>3341</v>
      </c>
      <c r="G199" s="746"/>
      <c r="H199" s="746"/>
      <c r="I199" s="871"/>
    </row>
    <row r="200" spans="1:10" ht="25.5" hidden="1" customHeight="1">
      <c r="A200" s="2271" t="str">
        <f>'Subsidy Layering Memo'!A98</f>
        <v>Include any reserve requirements; explain any reserves far in excess of 6 month ODR, 3 mo lease up, 1 year RR, 6 mo T&amp;I standards.</v>
      </c>
      <c r="B200" s="2271"/>
      <c r="C200" s="2271"/>
      <c r="D200" s="2271"/>
      <c r="E200" s="2271"/>
      <c r="F200" s="2271"/>
      <c r="G200" s="2271"/>
      <c r="H200" s="2271"/>
      <c r="I200" s="2271"/>
      <c r="J200" s="2271"/>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2" t="s">
        <v>2963</v>
      </c>
      <c r="B204" s="2272"/>
      <c r="C204" s="2272"/>
      <c r="D204" s="2272"/>
      <c r="E204" s="2272"/>
      <c r="F204" s="2272"/>
      <c r="G204" s="2272"/>
      <c r="H204" s="2272"/>
      <c r="I204" s="2272"/>
      <c r="J204" s="2272"/>
    </row>
    <row r="205" spans="1:10">
      <c r="A205" s="746" t="s">
        <v>2964</v>
      </c>
      <c r="G205" s="746"/>
      <c r="H205" s="746"/>
      <c r="I205" s="746"/>
    </row>
    <row r="206" spans="1:10" ht="38.25" customHeight="1">
      <c r="A206" s="2272" t="str">
        <f>'Subsidy Layering Memo'!A37&amp;".  "&amp;'Subsidy Layering Memo'!A38</f>
        <v xml:space="preserve">.  </v>
      </c>
      <c r="B206" s="2279"/>
      <c r="C206" s="2279"/>
      <c r="D206" s="2279"/>
      <c r="E206" s="2279"/>
      <c r="F206" s="2279"/>
      <c r="G206" s="2279"/>
      <c r="H206" s="2279"/>
      <c r="I206" s="2279"/>
      <c r="J206" s="227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Hillcrest Apartments</v>
      </c>
    </row>
    <row r="2" spans="1:11">
      <c r="A2" s="746" t="s">
        <v>3258</v>
      </c>
      <c r="H2" s="809" t="str">
        <f>Overview!E8</f>
        <v>2018-032</v>
      </c>
    </row>
    <row r="3" spans="1:11" ht="3" customHeight="1"/>
    <row r="4" spans="1:11" ht="51.75" customHeight="1">
      <c r="A4" s="2279" t="s">
        <v>3358</v>
      </c>
      <c r="B4" s="2279"/>
      <c r="C4" s="2279"/>
      <c r="D4" s="2279"/>
      <c r="E4" s="2279"/>
      <c r="F4" s="2279"/>
      <c r="G4" s="2279"/>
      <c r="H4" s="2279"/>
      <c r="J4" s="1444">
        <f>SUM('Part VII-Pro Forma'!B14:B16)/12</f>
        <v>19002.355200000002</v>
      </c>
      <c r="K4" s="1443" t="s">
        <v>4533</v>
      </c>
    </row>
    <row r="5" spans="1:11" ht="1.5" customHeight="1">
      <c r="C5" s="888"/>
      <c r="D5" s="888"/>
      <c r="E5" s="888"/>
      <c r="F5" s="888"/>
      <c r="G5" s="888"/>
      <c r="H5" s="888"/>
    </row>
    <row r="6" spans="1:11" ht="12.75" customHeight="1">
      <c r="B6" s="889" t="s">
        <v>2450</v>
      </c>
      <c r="C6" s="2279" t="s">
        <v>3259</v>
      </c>
      <c r="D6" s="2279"/>
      <c r="E6" s="2279"/>
      <c r="F6" s="2279"/>
      <c r="G6" s="2279"/>
      <c r="H6" s="2279"/>
    </row>
    <row r="7" spans="1:11" ht="12.75" customHeight="1">
      <c r="B7" s="889" t="s">
        <v>2451</v>
      </c>
      <c r="C7" s="2279" t="s">
        <v>3260</v>
      </c>
      <c r="D7" s="2279"/>
      <c r="E7" s="2279"/>
      <c r="F7" s="2279"/>
      <c r="G7" s="2279"/>
      <c r="H7" s="2279"/>
    </row>
    <row r="8" spans="1:11" ht="3" customHeight="1"/>
    <row r="9" spans="1:11">
      <c r="A9" s="809" t="s">
        <v>3261</v>
      </c>
    </row>
    <row r="10" spans="1:11" ht="1.5" customHeight="1"/>
    <row r="11" spans="1:11" ht="26.25" customHeight="1">
      <c r="A11" s="890" t="s">
        <v>1998</v>
      </c>
      <c r="B11" s="2285" t="s">
        <v>3355</v>
      </c>
      <c r="C11" s="2285"/>
      <c r="D11" s="2285"/>
      <c r="E11" s="2285"/>
      <c r="F11" s="2285"/>
      <c r="G11" s="2286">
        <f>'Part III-Sources of Funds'!I49+'Part III-Sources of Funds'!I50</f>
        <v>3834749</v>
      </c>
      <c r="H11" s="2286"/>
    </row>
    <row r="12" spans="1:11" ht="1.5" customHeight="1">
      <c r="G12" s="858"/>
      <c r="H12" s="858"/>
    </row>
    <row r="13" spans="1:11" ht="26.25" customHeight="1">
      <c r="A13" s="890" t="s">
        <v>2000</v>
      </c>
      <c r="B13" s="2285" t="s">
        <v>3356</v>
      </c>
      <c r="C13" s="2285"/>
      <c r="D13" s="2285"/>
      <c r="E13" s="2285"/>
      <c r="F13" s="2285"/>
      <c r="G13" s="2287" t="s">
        <v>3187</v>
      </c>
      <c r="H13" s="2287"/>
    </row>
    <row r="14" spans="1:11" ht="12" hidden="1" customHeight="1">
      <c r="A14" s="890"/>
      <c r="B14" s="2268"/>
      <c r="C14" s="2268"/>
      <c r="D14" s="2268"/>
      <c r="E14" s="2268"/>
      <c r="F14" s="2268"/>
      <c r="G14" s="2268"/>
      <c r="H14" s="2268"/>
    </row>
    <row r="15" spans="1:11" ht="1.5" customHeight="1"/>
    <row r="16" spans="1:11" ht="12" customHeight="1">
      <c r="A16" s="890" t="s">
        <v>756</v>
      </c>
      <c r="B16" s="809" t="s">
        <v>3360</v>
      </c>
      <c r="F16" s="882"/>
      <c r="G16" s="2265" t="s">
        <v>3013</v>
      </c>
      <c r="H16" s="2265"/>
    </row>
    <row r="17" spans="1:8" ht="1.5" customHeight="1">
      <c r="G17" s="864"/>
    </row>
    <row r="18" spans="1:8" ht="12" customHeight="1">
      <c r="A18" s="890" t="s">
        <v>2130</v>
      </c>
      <c r="B18" s="858" t="s">
        <v>3357</v>
      </c>
      <c r="C18" s="890"/>
      <c r="D18" s="890"/>
      <c r="E18" s="890"/>
      <c r="G18" s="2268" t="s">
        <v>2841</v>
      </c>
      <c r="H18" s="2268"/>
    </row>
    <row r="19" spans="1:8" ht="12" hidden="1" customHeight="1">
      <c r="B19" s="2268"/>
      <c r="C19" s="2268"/>
      <c r="D19" s="2268"/>
      <c r="E19" s="2268"/>
      <c r="F19" s="2268"/>
      <c r="G19" s="2268"/>
      <c r="H19" s="2268"/>
    </row>
    <row r="20" spans="1:8" ht="13.5" customHeight="1"/>
    <row r="21" spans="1:8" ht="12" customHeight="1">
      <c r="A21" s="746" t="s">
        <v>3262</v>
      </c>
    </row>
    <row r="22" spans="1:8" ht="3" customHeight="1"/>
    <row r="23" spans="1:8" ht="26.25" customHeight="1">
      <c r="A23" s="2288" t="s">
        <v>3359</v>
      </c>
      <c r="B23" s="2288"/>
      <c r="C23" s="2288"/>
      <c r="D23" s="2288"/>
      <c r="E23" s="2288"/>
      <c r="F23" s="2288"/>
      <c r="G23" s="2288"/>
      <c r="H23" s="2288"/>
    </row>
    <row r="24" spans="1:8" ht="26.25" customHeight="1">
      <c r="A24" s="2284" t="s">
        <v>3263</v>
      </c>
      <c r="B24" s="2284"/>
      <c r="C24" s="2284"/>
      <c r="D24" s="2284"/>
      <c r="E24" s="2284"/>
      <c r="F24" s="2284"/>
      <c r="G24" s="2284"/>
      <c r="H24" s="2284"/>
    </row>
    <row r="25" spans="1:8" ht="9" customHeight="1">
      <c r="A25" s="831"/>
    </row>
    <row r="26" spans="1:8">
      <c r="A26" s="864" t="s">
        <v>3361</v>
      </c>
      <c r="B26" s="891"/>
      <c r="C26" s="864" t="s">
        <v>3362</v>
      </c>
      <c r="D26" s="892" t="s">
        <v>3550</v>
      </c>
    </row>
    <row r="27" spans="1:8" ht="6" customHeight="1"/>
    <row r="28" spans="1:8" ht="12.75" customHeight="1">
      <c r="C28" s="858" t="s">
        <v>3264</v>
      </c>
      <c r="D28" s="893" t="s">
        <v>2001</v>
      </c>
      <c r="E28" s="894"/>
      <c r="F28" s="2279" t="s">
        <v>3265</v>
      </c>
      <c r="G28" s="2279"/>
      <c r="H28" s="2279"/>
    </row>
    <row r="29" spans="1:8" ht="12.75" customHeight="1">
      <c r="C29" s="895" t="s">
        <v>1364</v>
      </c>
      <c r="D29" s="893" t="s">
        <v>2003</v>
      </c>
      <c r="E29" s="2279" t="s">
        <v>3366</v>
      </c>
      <c r="F29" s="2279"/>
      <c r="G29" s="2279"/>
      <c r="H29" s="2279"/>
    </row>
    <row r="30" spans="1:8" ht="12.75" customHeight="1">
      <c r="E30" s="2279" t="s">
        <v>3546</v>
      </c>
      <c r="F30" s="2279"/>
      <c r="G30" s="2279"/>
      <c r="H30" s="2279"/>
    </row>
    <row r="31" spans="1:8" ht="12.75" customHeight="1">
      <c r="D31" s="896" t="s">
        <v>3365</v>
      </c>
      <c r="E31" s="2279" t="s">
        <v>3547</v>
      </c>
      <c r="F31" s="2279"/>
      <c r="G31" s="2279"/>
      <c r="H31" s="2279"/>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2001</v>
      </c>
      <c r="E35" s="894"/>
      <c r="F35" s="2279" t="s">
        <v>3265</v>
      </c>
      <c r="G35" s="2279"/>
      <c r="H35" s="2279"/>
    </row>
    <row r="36" spans="1:11" ht="12.75" customHeight="1">
      <c r="C36" s="895" t="s">
        <v>1364</v>
      </c>
      <c r="D36" s="893" t="s">
        <v>2003</v>
      </c>
      <c r="E36" s="2279" t="s">
        <v>3367</v>
      </c>
      <c r="F36" s="2279"/>
      <c r="G36" s="2279"/>
      <c r="H36" s="2279"/>
    </row>
    <row r="37" spans="1:11" ht="12.75" customHeight="1">
      <c r="E37" s="2279" t="s">
        <v>3546</v>
      </c>
      <c r="F37" s="2279"/>
      <c r="G37" s="2279"/>
      <c r="H37" s="2279"/>
    </row>
    <row r="38" spans="1:11" ht="12.75" customHeight="1">
      <c r="D38" s="896" t="s">
        <v>3365</v>
      </c>
      <c r="E38" s="2279" t="s">
        <v>3547</v>
      </c>
      <c r="F38" s="2279"/>
      <c r="G38" s="2279"/>
      <c r="H38" s="2279"/>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2001</v>
      </c>
      <c r="E42" s="894"/>
      <c r="F42" s="2279" t="s">
        <v>3265</v>
      </c>
      <c r="G42" s="2279"/>
      <c r="H42" s="2279"/>
      <c r="K42" s="809" t="s">
        <v>245</v>
      </c>
    </row>
    <row r="43" spans="1:11" ht="12.75" customHeight="1">
      <c r="C43" s="895" t="s">
        <v>1364</v>
      </c>
      <c r="D43" s="893" t="s">
        <v>2003</v>
      </c>
      <c r="E43" s="2279" t="s">
        <v>3367</v>
      </c>
      <c r="F43" s="2279"/>
      <c r="G43" s="2279"/>
      <c r="H43" s="2279"/>
    </row>
    <row r="44" spans="1:11" ht="12.75" customHeight="1">
      <c r="E44" s="2279" t="s">
        <v>3546</v>
      </c>
      <c r="F44" s="2279"/>
      <c r="G44" s="2279"/>
      <c r="H44" s="2279"/>
    </row>
    <row r="45" spans="1:11" ht="12.75" customHeight="1">
      <c r="D45" s="896" t="s">
        <v>3365</v>
      </c>
      <c r="E45" s="2279" t="s">
        <v>3547</v>
      </c>
      <c r="F45" s="2279"/>
      <c r="G45" s="2279"/>
      <c r="H45" s="2279"/>
    </row>
    <row r="46" spans="1:11" ht="9" customHeight="1"/>
    <row r="47" spans="1:11" ht="7.5" customHeight="1">
      <c r="E47" s="2279"/>
      <c r="F47" s="2279"/>
      <c r="G47" s="2279"/>
      <c r="H47" s="2279"/>
    </row>
    <row r="48" spans="1:11" ht="24.75" customHeight="1">
      <c r="A48" s="2289" t="s">
        <v>4297</v>
      </c>
      <c r="B48" s="2289"/>
      <c r="C48" s="2289"/>
      <c r="D48" s="2289"/>
      <c r="E48" s="2289"/>
      <c r="F48" s="2289"/>
      <c r="G48" s="2289"/>
      <c r="H48" s="2289"/>
    </row>
    <row r="49" spans="1:11" ht="9" customHeight="1"/>
    <row r="50" spans="1:11" ht="26.25" customHeight="1">
      <c r="A50" s="2288" t="s">
        <v>3548</v>
      </c>
      <c r="B50" s="2288"/>
      <c r="C50" s="2288"/>
      <c r="D50" s="2288"/>
      <c r="E50" s="2288"/>
      <c r="F50" s="2288"/>
      <c r="G50" s="2288"/>
      <c r="H50" s="2288"/>
    </row>
    <row r="51" spans="1:11" ht="9" customHeight="1">
      <c r="A51" s="831"/>
    </row>
    <row r="52" spans="1:11">
      <c r="A52" s="864" t="s">
        <v>3361</v>
      </c>
      <c r="B52" s="891"/>
      <c r="C52" s="864" t="s">
        <v>3362</v>
      </c>
      <c r="D52" s="892" t="s">
        <v>3549</v>
      </c>
    </row>
    <row r="53" spans="1:11" ht="4.5" customHeight="1"/>
    <row r="54" spans="1:11" ht="12.75" customHeight="1">
      <c r="C54" s="858" t="s">
        <v>3264</v>
      </c>
      <c r="D54" s="893" t="s">
        <v>2001</v>
      </c>
      <c r="E54" s="894"/>
      <c r="F54" s="2279" t="s">
        <v>3265</v>
      </c>
      <c r="G54" s="2279"/>
      <c r="H54" s="2279"/>
    </row>
    <row r="55" spans="1:11" ht="12.75" customHeight="1">
      <c r="C55" s="895" t="s">
        <v>1364</v>
      </c>
      <c r="D55" s="893" t="s">
        <v>2003</v>
      </c>
      <c r="E55" s="2279" t="s">
        <v>3555</v>
      </c>
      <c r="F55" s="2279"/>
      <c r="G55" s="2279"/>
      <c r="H55" s="2279"/>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2001</v>
      </c>
      <c r="E59" s="894"/>
      <c r="F59" s="2279" t="s">
        <v>3265</v>
      </c>
      <c r="G59" s="2279"/>
      <c r="H59" s="2279"/>
    </row>
    <row r="60" spans="1:11" ht="12.75" customHeight="1">
      <c r="C60" s="895" t="s">
        <v>1364</v>
      </c>
      <c r="D60" s="893" t="s">
        <v>2003</v>
      </c>
      <c r="E60" s="2279" t="s">
        <v>3555</v>
      </c>
      <c r="F60" s="2279"/>
      <c r="G60" s="2279"/>
      <c r="H60" s="2279"/>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2001</v>
      </c>
      <c r="E64" s="894"/>
      <c r="F64" s="2279" t="s">
        <v>3265</v>
      </c>
      <c r="G64" s="2279"/>
      <c r="H64" s="2279"/>
      <c r="K64" s="809" t="s">
        <v>245</v>
      </c>
    </row>
    <row r="65" spans="3:8" ht="12.75" customHeight="1">
      <c r="C65" s="895" t="s">
        <v>1364</v>
      </c>
      <c r="D65" s="893" t="s">
        <v>2003</v>
      </c>
      <c r="E65" s="2279" t="s">
        <v>3555</v>
      </c>
      <c r="F65" s="2279"/>
      <c r="G65" s="2279"/>
      <c r="H65" s="2279"/>
    </row>
    <row r="66" spans="3:8" ht="7.5" customHeight="1">
      <c r="E66" s="2279"/>
      <c r="F66" s="2279"/>
      <c r="G66" s="2279"/>
      <c r="H66" s="227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1" t="s">
        <v>4340</v>
      </c>
      <c r="C1" s="2301"/>
      <c r="D1" s="2301"/>
      <c r="E1" s="2301"/>
      <c r="F1" s="2301"/>
      <c r="G1" s="2301"/>
      <c r="H1" s="2301"/>
      <c r="I1" s="2301"/>
    </row>
    <row r="2" spans="2:13" ht="15">
      <c r="B2" s="1491" t="s">
        <v>4328</v>
      </c>
      <c r="C2" s="857"/>
      <c r="D2" s="857"/>
      <c r="E2" s="857"/>
      <c r="F2" s="857"/>
      <c r="G2" s="857"/>
      <c r="H2" s="857"/>
      <c r="I2" s="857"/>
    </row>
    <row r="3" spans="2:13" ht="14.25">
      <c r="B3" s="1492" t="s">
        <v>4335</v>
      </c>
      <c r="C3" s="857"/>
      <c r="D3" s="857"/>
      <c r="E3" s="857"/>
      <c r="F3" s="857"/>
      <c r="G3" s="857"/>
      <c r="H3" s="857"/>
      <c r="I3" s="857"/>
    </row>
    <row r="4" spans="2:13">
      <c r="B4" s="2302" t="s">
        <v>3266</v>
      </c>
      <c r="C4" s="2302"/>
      <c r="D4" s="2302"/>
      <c r="E4" s="2307" t="s">
        <v>3267</v>
      </c>
      <c r="F4" s="2309"/>
      <c r="G4" s="2307" t="s">
        <v>622</v>
      </c>
      <c r="H4" s="2308"/>
      <c r="I4" s="2309"/>
      <c r="J4" s="1485" t="s">
        <v>3111</v>
      </c>
      <c r="K4" s="1485"/>
      <c r="L4" s="1493"/>
      <c r="M4" s="1493"/>
    </row>
    <row r="5" spans="2:13">
      <c r="B5" s="2303" t="str">
        <f>'Closing term sheet'!C8</f>
        <v>Hillcrest Apartments, L.P.</v>
      </c>
      <c r="C5" s="2304"/>
      <c r="D5" s="2304"/>
      <c r="E5" s="2313"/>
      <c r="F5" s="2314"/>
      <c r="G5" s="2310" t="str">
        <f>'Closing term sheet'!C28</f>
        <v>Hillcrest Apartments</v>
      </c>
      <c r="H5" s="2311"/>
      <c r="I5" s="2312"/>
      <c r="K5" s="809"/>
    </row>
    <row r="6" spans="2:13" ht="4.5" customHeight="1">
      <c r="D6" s="1494"/>
      <c r="E6" s="1494"/>
      <c r="F6" s="1494"/>
      <c r="G6" s="1494"/>
      <c r="H6" s="1494"/>
      <c r="I6" s="1494"/>
      <c r="K6" s="809"/>
    </row>
    <row r="7" spans="2:13">
      <c r="B7" s="2296" t="s">
        <v>3268</v>
      </c>
      <c r="C7" s="2296"/>
      <c r="D7" s="1495"/>
      <c r="E7" s="1495"/>
      <c r="F7" s="1495"/>
      <c r="G7" s="1495"/>
      <c r="H7" s="2305">
        <f>'Preview term'!E9</f>
        <v>0</v>
      </c>
      <c r="I7" s="2306"/>
    </row>
    <row r="8" spans="2:13" ht="4.5" customHeight="1">
      <c r="B8" s="1495"/>
      <c r="C8" s="1495"/>
      <c r="D8" s="1495"/>
      <c r="E8" s="1495"/>
      <c r="F8" s="1495"/>
      <c r="G8" s="1495"/>
      <c r="H8" s="1495"/>
      <c r="I8" s="1495"/>
      <c r="J8" s="1495"/>
    </row>
    <row r="9" spans="2:13">
      <c r="B9" s="1496" t="s">
        <v>3269</v>
      </c>
      <c r="C9" s="1496"/>
      <c r="D9" s="1495"/>
      <c r="E9" s="866" t="s">
        <v>4330</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4327</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4331</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4332</v>
      </c>
      <c r="C19" s="1495"/>
      <c r="D19" s="1495"/>
      <c r="E19" s="1495"/>
      <c r="F19" s="1495"/>
      <c r="G19" s="1495"/>
      <c r="H19" s="1495"/>
      <c r="I19" s="1512"/>
    </row>
    <row r="20" spans="2:9" ht="7.5" customHeight="1">
      <c r="B20" s="1506"/>
      <c r="C20" s="1495"/>
      <c r="D20" s="1495"/>
      <c r="E20" s="1495"/>
      <c r="F20" s="1495"/>
      <c r="G20" s="1495"/>
      <c r="H20" s="1495"/>
      <c r="I20" s="1512"/>
    </row>
    <row r="21" spans="2:9">
      <c r="B21" s="1506" t="s">
        <v>4329</v>
      </c>
      <c r="C21" s="1495"/>
      <c r="D21" s="1495"/>
      <c r="E21" s="1495"/>
      <c r="F21" s="1495"/>
      <c r="G21" s="1495"/>
      <c r="H21" s="1495"/>
      <c r="I21" s="1507"/>
    </row>
    <row r="22" spans="2:9">
      <c r="B22" s="1511" t="s">
        <v>4333</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4334</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4336</v>
      </c>
    </row>
    <row r="34" spans="2:9" ht="3" customHeight="1">
      <c r="B34" s="1516"/>
      <c r="C34" s="1501"/>
      <c r="D34" s="1501"/>
      <c r="E34" s="1501"/>
      <c r="F34" s="1501"/>
      <c r="G34" s="1501"/>
      <c r="H34" s="1501"/>
      <c r="I34" s="1517"/>
    </row>
    <row r="35" spans="2:9">
      <c r="B35" s="1506" t="s">
        <v>4339</v>
      </c>
      <c r="C35" s="1495"/>
      <c r="D35" s="1495"/>
      <c r="F35" s="1521"/>
      <c r="H35" s="2315" t="s">
        <v>4348</v>
      </c>
      <c r="I35" s="2316"/>
    </row>
    <row r="36" spans="2:9">
      <c r="B36" s="1522" t="s">
        <v>4347</v>
      </c>
      <c r="C36" s="1520"/>
      <c r="D36" s="1520"/>
      <c r="E36" s="1495"/>
      <c r="F36" s="1523"/>
      <c r="G36" s="1524"/>
      <c r="H36" s="2315"/>
      <c r="I36" s="2316"/>
    </row>
    <row r="37" spans="2:9">
      <c r="B37" s="1522" t="s">
        <v>4345</v>
      </c>
      <c r="D37" s="1520"/>
      <c r="E37" s="1495"/>
      <c r="F37" s="1525"/>
      <c r="G37" s="1524"/>
      <c r="H37" s="2315"/>
      <c r="I37" s="2316"/>
    </row>
    <row r="38" spans="2:9">
      <c r="B38" s="1522" t="s">
        <v>4346</v>
      </c>
      <c r="D38" s="1495"/>
      <c r="E38" s="1495"/>
      <c r="F38" s="1525"/>
      <c r="G38" s="1524"/>
      <c r="H38" s="1524"/>
      <c r="I38" s="1526"/>
    </row>
    <row r="39" spans="2:9" ht="12.75" customHeight="1">
      <c r="B39" s="1522" t="s">
        <v>4344</v>
      </c>
      <c r="C39" s="1495"/>
      <c r="D39" s="1495"/>
      <c r="E39" s="1495"/>
      <c r="F39" s="1525"/>
      <c r="G39" s="1524"/>
      <c r="H39" s="1524"/>
      <c r="I39" s="1526"/>
    </row>
    <row r="40" spans="2:9">
      <c r="B40" s="1527" t="s">
        <v>4343</v>
      </c>
      <c r="C40" s="1528"/>
      <c r="D40" s="1529"/>
      <c r="E40" s="1530"/>
      <c r="F40" s="1525"/>
      <c r="G40" s="1530"/>
      <c r="H40" s="1507"/>
      <c r="I40" s="1505"/>
    </row>
    <row r="41" spans="2:9">
      <c r="B41" s="1527" t="s">
        <v>4342</v>
      </c>
      <c r="C41" s="1528"/>
      <c r="D41" s="1529"/>
      <c r="E41" s="1495"/>
      <c r="F41" s="1525"/>
      <c r="G41" s="1495"/>
      <c r="H41" s="1495"/>
      <c r="I41" s="1505"/>
    </row>
    <row r="42" spans="2:9">
      <c r="B42" s="1531" t="s">
        <v>4341</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4338</v>
      </c>
    </row>
    <row r="46" spans="2:9" ht="3" customHeight="1">
      <c r="B46" s="1516"/>
      <c r="C46" s="1501"/>
      <c r="D46" s="1501"/>
      <c r="E46" s="1501"/>
      <c r="F46" s="1501"/>
      <c r="G46" s="1501"/>
      <c r="H46" s="1501"/>
      <c r="I46" s="1517"/>
    </row>
    <row r="47" spans="2:9" ht="18">
      <c r="B47" s="1506" t="s">
        <v>4337</v>
      </c>
      <c r="C47" s="1495"/>
      <c r="D47" s="1533"/>
      <c r="E47" s="1534" t="str">
        <f>Overview!H7</f>
        <v>Acquisition/Rehabilitation</v>
      </c>
      <c r="F47" s="833" t="s">
        <v>4349</v>
      </c>
      <c r="H47" s="1495"/>
      <c r="I47" s="1505"/>
    </row>
    <row r="48" spans="2:9">
      <c r="B48" s="1511" t="s">
        <v>3281</v>
      </c>
      <c r="C48" s="1520"/>
      <c r="D48" s="1520" t="s">
        <v>3282</v>
      </c>
      <c r="E48" s="1495"/>
      <c r="F48" s="2324" t="str">
        <f>'Closing term sheet'!$C$30</f>
        <v>208 Hillcrest Drive</v>
      </c>
      <c r="G48" s="2325"/>
      <c r="H48" s="2325"/>
      <c r="I48" s="2326"/>
    </row>
    <row r="49" spans="2:9">
      <c r="B49" s="1511" t="s">
        <v>3283</v>
      </c>
      <c r="D49" s="1520" t="s">
        <v>3284</v>
      </c>
      <c r="E49" s="1495"/>
      <c r="F49" s="2327"/>
      <c r="G49" s="2328"/>
      <c r="H49" s="2328"/>
      <c r="I49" s="2329"/>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4350</v>
      </c>
      <c r="C52" s="2292" t="str">
        <f>'Part I-Project Information'!F38</f>
        <v>Dublin</v>
      </c>
      <c r="D52" s="2293"/>
      <c r="E52" s="1539" t="s">
        <v>4351</v>
      </c>
      <c r="F52" s="1497" t="s">
        <v>855</v>
      </c>
      <c r="G52" s="1539" t="s">
        <v>4352</v>
      </c>
      <c r="H52" s="1540">
        <f>'Part I-Project Information'!J38</f>
        <v>310210000</v>
      </c>
      <c r="I52" s="1505"/>
    </row>
    <row r="53" spans="2:9">
      <c r="B53" s="1538" t="s">
        <v>4514</v>
      </c>
      <c r="D53" s="1541" t="e">
        <f>VLOOKUP("='Part I-Project Information'!$J$39",'DCA Underwriting Assumptions'!$G$155:$O$314,9)</f>
        <v>#N/A</v>
      </c>
      <c r="I53" s="1505"/>
    </row>
    <row r="54" spans="2:9">
      <c r="B54" s="1538" t="s">
        <v>4515</v>
      </c>
      <c r="D54" s="1495"/>
      <c r="E54" s="1495"/>
      <c r="F54" s="1495"/>
      <c r="G54" s="1495"/>
      <c r="I54" s="1505"/>
    </row>
    <row r="55" spans="2:9">
      <c r="B55" s="1531" t="s">
        <v>4516</v>
      </c>
      <c r="D55" s="1542">
        <f>'Closing term sheet'!$D$33</f>
        <v>48</v>
      </c>
      <c r="E55" s="1543"/>
      <c r="F55" s="866" t="s">
        <v>3286</v>
      </c>
      <c r="G55" s="1495"/>
      <c r="H55" s="1495"/>
      <c r="I55" s="1505"/>
    </row>
    <row r="56" spans="2:9">
      <c r="B56" s="1531" t="s">
        <v>4518</v>
      </c>
      <c r="D56" s="1544">
        <f>'Closing term sheet'!$D$62</f>
        <v>0</v>
      </c>
      <c r="E56" s="1545"/>
      <c r="F56" s="866" t="s">
        <v>3287</v>
      </c>
      <c r="G56" s="1495"/>
      <c r="H56" s="1495"/>
      <c r="I56" s="1505"/>
    </row>
    <row r="57" spans="2:9">
      <c r="B57" s="1522" t="s">
        <v>4517</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8" t="s">
        <v>3289</v>
      </c>
      <c r="C61" s="2299"/>
      <c r="D61" s="2299"/>
      <c r="E61" s="2299"/>
      <c r="F61" s="2299"/>
      <c r="G61" s="2299"/>
      <c r="H61" s="2299"/>
      <c r="I61" s="2300"/>
    </row>
    <row r="62" spans="2:9" ht="7.5" customHeight="1">
      <c r="B62" s="2294"/>
      <c r="C62" s="2295"/>
      <c r="D62" s="2295"/>
      <c r="E62" s="1495"/>
      <c r="F62" s="1495"/>
      <c r="G62" s="1547"/>
      <c r="H62" s="1495"/>
      <c r="I62" s="1505"/>
    </row>
    <row r="63" spans="2:9">
      <c r="B63" s="1548" t="s">
        <v>3291</v>
      </c>
      <c r="C63" s="1495"/>
      <c r="D63" s="1542">
        <v>4</v>
      </c>
      <c r="F63" s="1495"/>
      <c r="G63" s="2296" t="s">
        <v>3290</v>
      </c>
      <c r="H63" s="2296"/>
      <c r="I63" s="2297"/>
    </row>
    <row r="64" spans="2:9">
      <c r="B64" s="1503"/>
      <c r="C64" s="1520" t="s">
        <v>3294</v>
      </c>
      <c r="D64" s="1520" t="s">
        <v>3295</v>
      </c>
      <c r="F64" s="1495"/>
      <c r="G64" s="878" t="s">
        <v>3292</v>
      </c>
      <c r="H64" s="1495"/>
      <c r="I64" s="1549">
        <f>'Closing term sheet'!$D$35</f>
        <v>48</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8" t="s">
        <v>3302</v>
      </c>
      <c r="C81" s="2299"/>
      <c r="D81" s="2299"/>
      <c r="E81" s="2299"/>
      <c r="F81" s="2299"/>
      <c r="G81" s="2299"/>
      <c r="H81" s="2299"/>
      <c r="I81" s="2300"/>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20">
        <f>'Closing term sheet'!D62</f>
        <v>0</v>
      </c>
      <c r="G84" s="2320"/>
      <c r="H84" s="1495"/>
      <c r="I84" s="1505"/>
    </row>
    <row r="85" spans="2:9">
      <c r="B85" s="1503"/>
      <c r="C85" s="886" t="s">
        <v>3305</v>
      </c>
      <c r="D85" s="1495"/>
      <c r="E85" s="1495"/>
      <c r="F85" s="2291">
        <f>'Part III-Sources of Funds'!I44+'Part III-Sources of Funds'!I45</f>
        <v>4069.0734446541301</v>
      </c>
      <c r="G85" s="2291"/>
      <c r="H85" s="1495"/>
      <c r="I85" s="1505"/>
    </row>
    <row r="86" spans="2:9">
      <c r="B86" s="1503"/>
      <c r="C86" s="886" t="s">
        <v>3306</v>
      </c>
      <c r="D86" s="1495"/>
      <c r="E86" s="1495"/>
      <c r="F86" s="2290"/>
      <c r="G86" s="2290"/>
      <c r="H86" s="1495"/>
      <c r="I86" s="1505"/>
    </row>
    <row r="87" spans="2:9">
      <c r="B87" s="1503"/>
      <c r="C87" s="1520" t="s">
        <v>3307</v>
      </c>
      <c r="D87" s="1495"/>
      <c r="E87" s="1495"/>
      <c r="F87" s="2291">
        <v>11000</v>
      </c>
      <c r="G87" s="2291"/>
      <c r="H87" s="1495"/>
      <c r="I87" s="1505"/>
    </row>
    <row r="88" spans="2:9">
      <c r="B88" s="1503"/>
      <c r="C88" s="886" t="s">
        <v>3308</v>
      </c>
      <c r="D88" s="1495"/>
      <c r="E88" s="1495"/>
      <c r="F88" s="2323"/>
      <c r="G88" s="2323"/>
      <c r="H88" s="1495"/>
      <c r="I88" s="1505"/>
    </row>
    <row r="89" spans="2:9">
      <c r="B89" s="1503"/>
      <c r="C89" s="866" t="s">
        <v>3309</v>
      </c>
      <c r="D89" s="1495"/>
      <c r="E89" s="1495"/>
      <c r="F89" s="2318">
        <f>SUM(F84:G88)</f>
        <v>15069.07344465413</v>
      </c>
      <c r="G89" s="2318"/>
      <c r="H89" s="1495"/>
      <c r="I89" s="1505"/>
    </row>
    <row r="90" spans="2:9">
      <c r="B90" s="1503"/>
      <c r="C90" s="1495"/>
      <c r="D90" s="1495"/>
      <c r="E90" s="1495"/>
      <c r="F90" s="2319"/>
      <c r="G90" s="2319"/>
      <c r="H90" s="1495"/>
      <c r="I90" s="1505"/>
    </row>
    <row r="91" spans="2:9">
      <c r="B91" s="1506" t="s">
        <v>3310</v>
      </c>
      <c r="C91" s="1495"/>
      <c r="D91" s="1495"/>
      <c r="E91" s="1495"/>
      <c r="F91" s="1495"/>
      <c r="G91" s="1495"/>
      <c r="H91" s="1495"/>
      <c r="I91" s="1505"/>
    </row>
    <row r="92" spans="2:9">
      <c r="B92" s="1503"/>
      <c r="C92" s="886" t="s">
        <v>3311</v>
      </c>
      <c r="D92" s="1495"/>
      <c r="E92" s="1495"/>
      <c r="F92" s="2320"/>
      <c r="G92" s="2320"/>
      <c r="H92" s="1495"/>
      <c r="I92" s="1505"/>
    </row>
    <row r="93" spans="2:9">
      <c r="B93" s="1503"/>
      <c r="C93" s="886" t="s">
        <v>3312</v>
      </c>
      <c r="D93" s="1495"/>
      <c r="E93" s="1495"/>
      <c r="F93" s="2321"/>
      <c r="G93" s="2321"/>
      <c r="H93" s="1495"/>
      <c r="I93" s="1505"/>
    </row>
    <row r="94" spans="2:9">
      <c r="B94" s="1503"/>
      <c r="C94" s="886" t="s">
        <v>3313</v>
      </c>
      <c r="D94" s="1495"/>
      <c r="E94" s="1495"/>
      <c r="F94" s="2322" t="s">
        <v>3187</v>
      </c>
      <c r="G94" s="2317"/>
      <c r="H94" s="1495"/>
      <c r="I94" s="1505"/>
    </row>
    <row r="95" spans="2:9">
      <c r="B95" s="1503"/>
      <c r="C95" s="866" t="s">
        <v>3314</v>
      </c>
      <c r="D95" s="1495"/>
      <c r="E95" s="1495"/>
      <c r="F95" s="2318">
        <f>+SUM(F92:G94)</f>
        <v>0</v>
      </c>
      <c r="G95" s="2318"/>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20"/>
      <c r="G98" s="2320"/>
      <c r="H98" s="1495"/>
      <c r="I98" s="1505"/>
    </row>
    <row r="99" spans="2:9">
      <c r="B99" s="1503"/>
      <c r="C99" s="886" t="s">
        <v>3317</v>
      </c>
      <c r="D99" s="1495"/>
      <c r="E99" s="1495"/>
      <c r="F99" s="2321"/>
      <c r="G99" s="2321"/>
      <c r="H99" s="1495"/>
      <c r="I99" s="1505"/>
    </row>
    <row r="100" spans="2:9">
      <c r="B100" s="1503"/>
      <c r="C100" s="886" t="s">
        <v>3318</v>
      </c>
      <c r="D100" s="1495"/>
      <c r="E100" s="1495"/>
      <c r="F100" s="2323"/>
      <c r="G100" s="2323"/>
      <c r="H100" s="1495"/>
      <c r="I100" s="1505"/>
    </row>
    <row r="101" spans="2:9">
      <c r="B101" s="1503"/>
      <c r="C101" s="866" t="s">
        <v>3319</v>
      </c>
      <c r="D101" s="1495"/>
      <c r="E101" s="1495"/>
      <c r="F101" s="2318">
        <f>+SUM(F98:G100)</f>
        <v>0</v>
      </c>
      <c r="G101" s="2318"/>
      <c r="H101" s="1495"/>
      <c r="I101" s="1505"/>
    </row>
    <row r="102" spans="2:9">
      <c r="B102" s="1503"/>
      <c r="C102" s="1495"/>
      <c r="D102" s="1495"/>
      <c r="E102" s="1495"/>
      <c r="F102" s="1495"/>
      <c r="G102" s="1495"/>
      <c r="H102" s="1495"/>
      <c r="I102" s="1505"/>
    </row>
    <row r="103" spans="2:9">
      <c r="B103" s="1548" t="s">
        <v>3320</v>
      </c>
      <c r="C103" s="886"/>
      <c r="D103" s="1495"/>
      <c r="E103" s="1495"/>
      <c r="F103" s="2317">
        <f>'Part III-Sources of Funds'!I46+'Part III-Sources of Funds'!I47</f>
        <v>0</v>
      </c>
      <c r="G103" s="2317"/>
      <c r="H103" s="1495"/>
      <c r="I103" s="1505"/>
    </row>
    <row r="104" spans="2:9">
      <c r="B104" s="1503"/>
      <c r="C104" s="1495"/>
      <c r="D104" s="1495"/>
      <c r="E104" s="1495"/>
      <c r="F104" s="1495"/>
      <c r="G104" s="1495"/>
      <c r="H104" s="1495"/>
      <c r="I104" s="1553" t="s">
        <v>3321</v>
      </c>
    </row>
    <row r="105" spans="2:9">
      <c r="B105" s="1506" t="s">
        <v>3322</v>
      </c>
      <c r="C105" s="1495"/>
      <c r="D105" s="1495"/>
      <c r="E105" s="1495"/>
      <c r="F105" s="2317">
        <f>+F103+F101+F95+F89</f>
        <v>15069.07344465413</v>
      </c>
      <c r="G105" s="2317"/>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1509</v>
      </c>
      <c r="O1" s="2904"/>
      <c r="P1" s="2904"/>
      <c r="Q1" s="2904"/>
      <c r="R1" s="2904"/>
      <c r="S1" s="2904"/>
      <c r="T1" s="2904"/>
      <c r="U1" s="2904"/>
      <c r="V1" s="2904"/>
      <c r="W1" s="2904"/>
      <c r="X1" s="2904"/>
      <c r="Y1" s="2904"/>
      <c r="Z1" s="2904"/>
    </row>
    <row r="2" spans="1:26">
      <c r="N2" s="2905" t="s">
        <v>1510</v>
      </c>
      <c r="O2" s="2905"/>
      <c r="P2" s="2905"/>
      <c r="Q2" s="2905"/>
      <c r="R2" s="2905"/>
      <c r="S2" s="2905"/>
      <c r="T2" s="2905"/>
      <c r="U2" s="2905"/>
      <c r="V2" s="2905"/>
      <c r="W2" s="2905"/>
      <c r="X2" s="2905"/>
      <c r="Y2" s="2905"/>
      <c r="Z2" s="2905"/>
    </row>
    <row r="3" spans="1:26">
      <c r="N3" s="2906" t="s">
        <v>1511</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708</v>
      </c>
    </row>
    <row r="5" spans="1:26" ht="59.25" customHeight="1">
      <c r="A5" s="2909" t="s">
        <v>2767</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713</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1920</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4132</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1749</v>
      </c>
      <c r="B13" s="2913" t="s">
        <v>3703</v>
      </c>
      <c r="C13" s="2913"/>
      <c r="D13" s="2913"/>
      <c r="E13" s="2913"/>
      <c r="F13" s="2913"/>
      <c r="G13" s="2913"/>
      <c r="H13" s="2913"/>
      <c r="I13" s="2913"/>
      <c r="J13" s="2913"/>
      <c r="K13" s="2913"/>
      <c r="L13" s="2913"/>
      <c r="M13" s="2913"/>
    </row>
    <row r="14" spans="1:26" ht="47.25" customHeight="1">
      <c r="A14" s="2912" t="s">
        <v>1750</v>
      </c>
      <c r="B14" s="2913" t="s">
        <v>3704</v>
      </c>
      <c r="C14" s="2913"/>
      <c r="D14" s="2913"/>
      <c r="E14" s="2913"/>
      <c r="F14" s="2913"/>
      <c r="G14" s="2913"/>
      <c r="H14" s="2913"/>
      <c r="I14" s="2913"/>
      <c r="J14" s="2913"/>
      <c r="K14" s="2913"/>
      <c r="L14" s="2913"/>
      <c r="M14" s="2913"/>
    </row>
    <row r="15" spans="1:26" ht="117" customHeight="1">
      <c r="A15" s="2912" t="s">
        <v>1751</v>
      </c>
      <c r="B15" s="2913" t="s">
        <v>3705</v>
      </c>
      <c r="C15" s="2913"/>
      <c r="D15" s="2913"/>
      <c r="E15" s="2913"/>
      <c r="F15" s="2913"/>
      <c r="G15" s="2913"/>
      <c r="H15" s="2913"/>
      <c r="I15" s="2913"/>
      <c r="J15" s="2913"/>
      <c r="K15" s="2913"/>
      <c r="L15" s="2913"/>
      <c r="M15" s="2913"/>
    </row>
    <row r="16" spans="1:26" ht="147" customHeight="1">
      <c r="A16" s="2912" t="s">
        <v>2380</v>
      </c>
      <c r="B16" s="2913" t="s">
        <v>3479</v>
      </c>
      <c r="C16" s="2913"/>
      <c r="D16" s="2913"/>
      <c r="E16" s="2913"/>
      <c r="F16" s="2913"/>
      <c r="G16" s="2913"/>
      <c r="H16" s="2913"/>
      <c r="I16" s="2913"/>
      <c r="J16" s="2913"/>
      <c r="K16" s="2913"/>
      <c r="L16" s="2913"/>
      <c r="M16" s="2913"/>
    </row>
    <row r="17" spans="1:13" ht="48.75" customHeight="1">
      <c r="A17" s="2912" t="s">
        <v>1560</v>
      </c>
      <c r="B17" s="2913" t="s">
        <v>688</v>
      </c>
      <c r="C17" s="2913"/>
      <c r="D17" s="2913"/>
      <c r="E17" s="2913"/>
      <c r="F17" s="2913"/>
      <c r="G17" s="2913"/>
      <c r="H17" s="2913"/>
      <c r="I17" s="2913"/>
      <c r="J17" s="2913"/>
      <c r="K17" s="2913"/>
      <c r="L17" s="2913"/>
      <c r="M17" s="2913"/>
    </row>
    <row r="18" spans="1:13" ht="165" customHeight="1">
      <c r="A18" s="2912" t="s">
        <v>1561</v>
      </c>
      <c r="B18" s="2913" t="s">
        <v>3478</v>
      </c>
      <c r="C18" s="2913"/>
      <c r="D18" s="2913"/>
      <c r="E18" s="2913"/>
      <c r="F18" s="2913"/>
      <c r="G18" s="2913"/>
      <c r="H18" s="2913"/>
      <c r="I18" s="2913"/>
      <c r="J18" s="2913"/>
      <c r="K18" s="2913"/>
      <c r="L18" s="2913"/>
      <c r="M18" s="2913"/>
    </row>
    <row r="19" spans="1:13" ht="48.75" customHeight="1">
      <c r="A19" s="2912" t="s">
        <v>99</v>
      </c>
      <c r="B19" s="2914" t="s">
        <v>3706</v>
      </c>
      <c r="C19" s="2914"/>
      <c r="D19" s="2914"/>
      <c r="E19" s="2914"/>
      <c r="F19" s="2914"/>
      <c r="G19" s="2914"/>
      <c r="H19" s="2914"/>
      <c r="I19" s="2914"/>
      <c r="J19" s="2914"/>
      <c r="K19" s="2914"/>
      <c r="L19" s="2914"/>
      <c r="M19" s="2914"/>
    </row>
    <row r="20" spans="1:13" ht="50.25" customHeight="1">
      <c r="A20" s="2912" t="s">
        <v>515</v>
      </c>
      <c r="B20" s="2913" t="s">
        <v>3481</v>
      </c>
      <c r="C20" s="2913"/>
      <c r="D20" s="2913"/>
      <c r="E20" s="2913"/>
      <c r="F20" s="2913"/>
      <c r="G20" s="2913"/>
      <c r="H20" s="2913"/>
      <c r="I20" s="2913"/>
      <c r="J20" s="2913"/>
      <c r="K20" s="2913"/>
      <c r="L20" s="2913"/>
      <c r="M20" s="2913"/>
    </row>
    <row r="21" spans="1:13" ht="31.5" customHeight="1">
      <c r="A21" s="2912" t="s">
        <v>516</v>
      </c>
      <c r="B21" s="2913" t="s">
        <v>3509</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1476</v>
      </c>
      <c r="B24" s="2910"/>
      <c r="C24" s="2910"/>
      <c r="D24" s="2910"/>
      <c r="E24" s="2910"/>
      <c r="F24" s="2910"/>
      <c r="G24" s="2910"/>
      <c r="H24" s="2910"/>
      <c r="I24" s="2910"/>
      <c r="J24" s="2910"/>
      <c r="K24" s="2910"/>
      <c r="L24" s="2910"/>
      <c r="M24" s="2910"/>
    </row>
    <row r="25" spans="1:13" ht="32.25" customHeight="1">
      <c r="A25" s="2912" t="s">
        <v>1477</v>
      </c>
      <c r="B25" s="2913" t="s">
        <v>3510</v>
      </c>
      <c r="C25" s="2913"/>
      <c r="D25" s="2913"/>
      <c r="E25" s="2913"/>
      <c r="F25" s="2913"/>
      <c r="G25" s="2913"/>
      <c r="H25" s="2913"/>
      <c r="I25" s="2913"/>
      <c r="J25" s="2913"/>
      <c r="K25" s="2913"/>
      <c r="L25" s="2913"/>
      <c r="M25" s="2913"/>
    </row>
    <row r="26" spans="1:13" ht="31.5" customHeight="1">
      <c r="A26" s="2912" t="s">
        <v>1477</v>
      </c>
      <c r="B26" s="2913" t="s">
        <v>3511</v>
      </c>
      <c r="C26" s="2913"/>
      <c r="D26" s="2913"/>
      <c r="E26" s="2913"/>
      <c r="F26" s="2913"/>
      <c r="G26" s="2913"/>
      <c r="H26" s="2913"/>
      <c r="I26" s="2913"/>
      <c r="J26" s="2913"/>
      <c r="K26" s="2913"/>
      <c r="L26" s="2913"/>
      <c r="M26" s="2913"/>
    </row>
    <row r="27" spans="1:13" ht="78.75" customHeight="1">
      <c r="A27" s="2912" t="s">
        <v>1477</v>
      </c>
      <c r="B27" s="2913" t="s">
        <v>2768</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954</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2769</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930</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931</v>
      </c>
      <c r="B36" s="2918"/>
      <c r="C36" s="2918"/>
      <c r="D36" s="2918"/>
      <c r="E36" s="2918"/>
      <c r="F36" s="2918"/>
      <c r="G36" s="2917"/>
      <c r="H36" s="2918" t="s">
        <v>1995</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932</v>
      </c>
      <c r="B39" s="2918"/>
      <c r="C39" s="2918"/>
      <c r="D39" s="2918"/>
      <c r="E39" s="2918"/>
      <c r="F39" s="2918"/>
      <c r="G39" s="2917"/>
      <c r="H39" s="2918" t="s">
        <v>933</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934</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LtIEy0PsPgl7k5hTRQbA82SXUhNfzYChX1pIrtbezwByR52UPzWBzXzH+1Vacs5NKejE1DPoPtCyGDv9ADkXOw==" saltValue="hEEi0BZNVpXtYpYEQm3LN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activeCell="A5"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3" t="s">
        <v>728</v>
      </c>
      <c r="B2" s="2334"/>
      <c r="C2" s="2334"/>
      <c r="D2" s="2334"/>
      <c r="E2" s="2334"/>
      <c r="F2" s="2334"/>
      <c r="G2" s="2334"/>
      <c r="H2" s="2334"/>
      <c r="I2" s="2334"/>
      <c r="J2" s="2334"/>
      <c r="K2" s="2334"/>
      <c r="L2" s="2334"/>
      <c r="M2" s="2334"/>
      <c r="N2" s="2334"/>
      <c r="O2" s="2334"/>
      <c r="P2" s="2334"/>
      <c r="Q2" s="2334"/>
      <c r="R2" s="233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611" t="s">
        <v>1745</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1" t="s">
        <v>1745</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1745</v>
      </c>
      <c r="R8" s="1611">
        <v>1200000</v>
      </c>
      <c r="S8" s="175"/>
      <c r="T8" s="175"/>
      <c r="U8" s="175"/>
      <c r="V8" s="1001"/>
      <c r="W8" s="1001"/>
      <c r="X8" s="178"/>
      <c r="AA8" s="536"/>
      <c r="AB8" s="536"/>
    </row>
    <row r="9" spans="1:28" s="280" customFormat="1" ht="11.45" customHeight="1">
      <c r="F9" s="177"/>
      <c r="G9" s="177"/>
      <c r="H9" s="175"/>
      <c r="I9" s="175"/>
      <c r="J9" s="177" t="s">
        <v>1267</v>
      </c>
      <c r="K9" s="177"/>
      <c r="L9" s="177"/>
      <c r="M9" s="177"/>
      <c r="N9" s="177"/>
      <c r="O9" s="177"/>
      <c r="P9" s="175"/>
      <c r="Q9" s="1611" t="s">
        <v>1745</v>
      </c>
      <c r="R9" s="1611">
        <v>1700000</v>
      </c>
      <c r="S9" s="175"/>
      <c r="T9" s="175"/>
      <c r="U9" s="175"/>
      <c r="V9" s="1001"/>
      <c r="W9" s="1001"/>
      <c r="X9" s="178"/>
      <c r="AA9" s="536"/>
      <c r="AB9" s="536"/>
    </row>
    <row r="10" spans="1:28" s="280" customFormat="1" ht="11.45" customHeight="1">
      <c r="F10" s="177" t="s">
        <v>2424</v>
      </c>
      <c r="G10" s="177"/>
      <c r="H10" s="175"/>
      <c r="I10" s="175"/>
      <c r="J10" s="177" t="s">
        <v>1775</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2399</v>
      </c>
      <c r="K11" s="177"/>
      <c r="L11" s="177"/>
      <c r="M11" s="177"/>
      <c r="N11" s="177"/>
      <c r="O11" s="177"/>
      <c r="P11" s="175"/>
      <c r="Q11" s="1611" t="s">
        <v>1745</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6" t="s">
        <v>3380</v>
      </c>
      <c r="G14" s="2337"/>
      <c r="H14" s="2337"/>
      <c r="I14" s="2337"/>
      <c r="J14" s="2338"/>
      <c r="K14" s="290"/>
      <c r="L14" s="597" t="s">
        <v>3603</v>
      </c>
      <c r="M14" s="290"/>
      <c r="N14" s="2336" t="s">
        <v>3380</v>
      </c>
      <c r="O14" s="2337"/>
      <c r="P14" s="2337"/>
      <c r="Q14" s="2337"/>
      <c r="R14" s="2338"/>
      <c r="S14" s="301"/>
      <c r="T14" s="175"/>
      <c r="U14" s="175"/>
      <c r="V14" s="1056"/>
      <c r="W14" s="1056"/>
      <c r="X14" s="1056"/>
      <c r="AA14" s="536"/>
      <c r="AB14" s="536"/>
    </row>
    <row r="15" spans="1:28" s="280" customFormat="1" ht="11.45" customHeight="1">
      <c r="A15" s="177"/>
      <c r="D15" s="598" t="s">
        <v>2629</v>
      </c>
      <c r="E15" s="598" t="s">
        <v>1307</v>
      </c>
      <c r="F15" s="599">
        <v>0</v>
      </c>
      <c r="G15" s="600">
        <v>1</v>
      </c>
      <c r="H15" s="1608">
        <v>2</v>
      </c>
      <c r="I15" s="1608">
        <v>3</v>
      </c>
      <c r="J15" s="601" t="s">
        <v>3377</v>
      </c>
      <c r="L15" s="598" t="s">
        <v>2629</v>
      </c>
      <c r="M15" s="598" t="s">
        <v>1307</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1794</v>
      </c>
      <c r="E16" s="1077" t="s">
        <v>3379</v>
      </c>
      <c r="F16" s="1078">
        <v>129802</v>
      </c>
      <c r="G16" s="1078">
        <v>169579</v>
      </c>
      <c r="H16" s="1078">
        <v>205492</v>
      </c>
      <c r="I16" s="1078">
        <v>250678</v>
      </c>
      <c r="J16" s="1078">
        <v>294766</v>
      </c>
      <c r="L16" s="301" t="s">
        <v>1794</v>
      </c>
      <c r="M16" s="301" t="s">
        <v>3379</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1794</v>
      </c>
      <c r="E17" s="1077" t="s">
        <v>3376</v>
      </c>
      <c r="F17" s="1078">
        <v>105598</v>
      </c>
      <c r="G17" s="1078">
        <v>147837</v>
      </c>
      <c r="H17" s="1078">
        <v>190077</v>
      </c>
      <c r="I17" s="1078">
        <v>253436</v>
      </c>
      <c r="J17" s="1078">
        <v>316794</v>
      </c>
      <c r="L17" s="301" t="s">
        <v>1794</v>
      </c>
      <c r="M17" s="301" t="s">
        <v>3376</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1794</v>
      </c>
      <c r="E18" s="1077" t="s">
        <v>3374</v>
      </c>
      <c r="F18" s="1078">
        <v>119585</v>
      </c>
      <c r="G18" s="1078">
        <v>156306</v>
      </c>
      <c r="H18" s="1078">
        <v>189734</v>
      </c>
      <c r="I18" s="1078">
        <v>232306</v>
      </c>
      <c r="J18" s="1078">
        <v>275312</v>
      </c>
      <c r="L18" s="301" t="s">
        <v>1794</v>
      </c>
      <c r="M18" s="301" t="s">
        <v>3374</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1794</v>
      </c>
      <c r="E19" s="1077" t="s">
        <v>3375</v>
      </c>
      <c r="F19" s="1078">
        <v>104164</v>
      </c>
      <c r="G19" s="1078">
        <v>144030</v>
      </c>
      <c r="H19" s="1078">
        <v>182870</v>
      </c>
      <c r="I19" s="1078">
        <v>239197</v>
      </c>
      <c r="J19" s="1078">
        <v>298135</v>
      </c>
      <c r="L19" s="301" t="s">
        <v>1794</v>
      </c>
      <c r="M19" s="301" t="s">
        <v>3375</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1216</v>
      </c>
      <c r="E24" s="1066" t="s">
        <v>3379</v>
      </c>
      <c r="F24" s="1067">
        <v>140378</v>
      </c>
      <c r="G24" s="1067">
        <v>183548</v>
      </c>
      <c r="H24" s="1067">
        <v>222560</v>
      </c>
      <c r="I24" s="1067">
        <v>271753</v>
      </c>
      <c r="J24" s="1067">
        <v>319636</v>
      </c>
      <c r="L24" s="596" t="s">
        <v>1216</v>
      </c>
      <c r="M24" s="596" t="s">
        <v>3379</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1216</v>
      </c>
      <c r="E25" s="1066" t="s">
        <v>3376</v>
      </c>
      <c r="F25" s="1067">
        <v>114378</v>
      </c>
      <c r="G25" s="1067">
        <v>160129</v>
      </c>
      <c r="H25" s="1067">
        <v>205881</v>
      </c>
      <c r="I25" s="1067">
        <v>274508</v>
      </c>
      <c r="J25" s="1067">
        <v>343134</v>
      </c>
      <c r="L25" s="596" t="s">
        <v>1216</v>
      </c>
      <c r="M25" s="596" t="s">
        <v>3376</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1216</v>
      </c>
      <c r="E26" s="1066" t="s">
        <v>3374</v>
      </c>
      <c r="F26" s="1067">
        <v>129053</v>
      </c>
      <c r="G26" s="1067">
        <v>168837</v>
      </c>
      <c r="H26" s="1067">
        <v>205093</v>
      </c>
      <c r="I26" s="1067">
        <v>251390</v>
      </c>
      <c r="J26" s="1067">
        <v>298072</v>
      </c>
      <c r="L26" s="596" t="s">
        <v>1216</v>
      </c>
      <c r="M26" s="596" t="s">
        <v>3374</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1216</v>
      </c>
      <c r="E27" s="1066" t="s">
        <v>3375</v>
      </c>
      <c r="F27" s="1067">
        <v>112110</v>
      </c>
      <c r="G27" s="1067">
        <v>154960</v>
      </c>
      <c r="H27" s="1067">
        <v>196671</v>
      </c>
      <c r="I27" s="1067">
        <v>257098</v>
      </c>
      <c r="J27" s="1067">
        <v>320417</v>
      </c>
      <c r="L27" s="596" t="s">
        <v>1216</v>
      </c>
      <c r="M27" s="596" t="s">
        <v>3375</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1341</v>
      </c>
      <c r="E28" s="1070" t="s">
        <v>3379</v>
      </c>
      <c r="F28" s="1071">
        <v>132505</v>
      </c>
      <c r="G28" s="1071">
        <v>172926</v>
      </c>
      <c r="H28" s="1071">
        <v>209377</v>
      </c>
      <c r="I28" s="1071">
        <v>255107</v>
      </c>
      <c r="J28" s="1071">
        <v>299867</v>
      </c>
      <c r="L28" s="596" t="s">
        <v>1341</v>
      </c>
      <c r="M28" s="596" t="s">
        <v>3379</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1341</v>
      </c>
      <c r="E29" s="1070" t="s">
        <v>3376</v>
      </c>
      <c r="F29" s="1071">
        <v>107584</v>
      </c>
      <c r="G29" s="1071">
        <v>150617</v>
      </c>
      <c r="H29" s="1071">
        <v>193650</v>
      </c>
      <c r="I29" s="1071">
        <v>258201</v>
      </c>
      <c r="J29" s="1071">
        <v>322751</v>
      </c>
      <c r="L29" s="596" t="s">
        <v>1341</v>
      </c>
      <c r="M29" s="596" t="s">
        <v>3376</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1341</v>
      </c>
      <c r="E30" s="1070" t="s">
        <v>3374</v>
      </c>
      <c r="F30" s="1071">
        <v>122412</v>
      </c>
      <c r="G30" s="1071">
        <v>159813</v>
      </c>
      <c r="H30" s="1071">
        <v>193809</v>
      </c>
      <c r="I30" s="1071">
        <v>236957</v>
      </c>
      <c r="J30" s="1071">
        <v>280648</v>
      </c>
      <c r="L30" s="596" t="s">
        <v>1341</v>
      </c>
      <c r="M30" s="596" t="s">
        <v>3374</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1341</v>
      </c>
      <c r="E31" s="1070" t="s">
        <v>3375</v>
      </c>
      <c r="F31" s="1071">
        <v>106994</v>
      </c>
      <c r="G31" s="1071">
        <v>148014</v>
      </c>
      <c r="H31" s="1071">
        <v>188019</v>
      </c>
      <c r="I31" s="1071">
        <v>246119</v>
      </c>
      <c r="J31" s="1071">
        <v>306798</v>
      </c>
      <c r="L31" s="596" t="s">
        <v>1341</v>
      </c>
      <c r="M31" s="596" t="s">
        <v>3375</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1532</v>
      </c>
      <c r="E32" s="1099" t="s">
        <v>3379</v>
      </c>
      <c r="F32" s="906">
        <v>135971</v>
      </c>
      <c r="G32" s="906">
        <v>178050</v>
      </c>
      <c r="H32" s="906">
        <v>216136</v>
      </c>
      <c r="I32" s="906">
        <v>264350</v>
      </c>
      <c r="J32" s="906">
        <v>311082</v>
      </c>
      <c r="L32" s="1099" t="s">
        <v>1532</v>
      </c>
      <c r="M32" s="596" t="s">
        <v>3379</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1532</v>
      </c>
      <c r="E33" s="1099" t="s">
        <v>3376</v>
      </c>
      <c r="F33" s="906">
        <v>111093</v>
      </c>
      <c r="G33" s="906">
        <v>155530</v>
      </c>
      <c r="H33" s="906">
        <v>199967</v>
      </c>
      <c r="I33" s="906">
        <v>266623</v>
      </c>
      <c r="J33" s="906">
        <v>333278</v>
      </c>
      <c r="L33" s="1099" t="s">
        <v>1532</v>
      </c>
      <c r="M33" s="596" t="s">
        <v>3376</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1532</v>
      </c>
      <c r="E34" s="1099" t="s">
        <v>3374</v>
      </c>
      <c r="F34" s="906">
        <v>124524</v>
      </c>
      <c r="G34" s="906">
        <v>163179</v>
      </c>
      <c r="H34" s="906">
        <v>198480</v>
      </c>
      <c r="I34" s="906">
        <v>243766</v>
      </c>
      <c r="J34" s="906">
        <v>289284</v>
      </c>
      <c r="L34" s="1099" t="s">
        <v>1532</v>
      </c>
      <c r="M34" s="596" t="s">
        <v>3374</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1532</v>
      </c>
      <c r="E35" s="1099" t="s">
        <v>3375</v>
      </c>
      <c r="F35" s="906">
        <v>107650</v>
      </c>
      <c r="G35" s="906">
        <v>148694</v>
      </c>
      <c r="H35" s="906">
        <v>188587</v>
      </c>
      <c r="I35" s="906">
        <v>246263</v>
      </c>
      <c r="J35" s="906">
        <v>306864</v>
      </c>
      <c r="L35" s="1099" t="s">
        <v>1532</v>
      </c>
      <c r="M35" s="596" t="s">
        <v>3375</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1331</v>
      </c>
      <c r="E40" s="1074" t="s">
        <v>3379</v>
      </c>
      <c r="F40" s="1075">
        <v>127800</v>
      </c>
      <c r="G40" s="1075">
        <v>167186</v>
      </c>
      <c r="H40" s="1075">
        <v>202798</v>
      </c>
      <c r="I40" s="1075">
        <v>247764</v>
      </c>
      <c r="J40" s="1075">
        <v>291469</v>
      </c>
      <c r="L40" s="596" t="s">
        <v>1331</v>
      </c>
      <c r="M40" s="596" t="s">
        <v>3379</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1331</v>
      </c>
      <c r="E41" s="1074" t="s">
        <v>3376</v>
      </c>
      <c r="F41" s="1075">
        <v>104227</v>
      </c>
      <c r="G41" s="1075">
        <v>145918</v>
      </c>
      <c r="H41" s="1075">
        <v>187609</v>
      </c>
      <c r="I41" s="1075">
        <v>250145</v>
      </c>
      <c r="J41" s="1075">
        <v>312681</v>
      </c>
      <c r="L41" s="596" t="s">
        <v>1331</v>
      </c>
      <c r="M41" s="596" t="s">
        <v>3376</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1331</v>
      </c>
      <c r="E42" s="1074" t="s">
        <v>3374</v>
      </c>
      <c r="F42" s="1075">
        <v>117337</v>
      </c>
      <c r="G42" s="1075">
        <v>153594</v>
      </c>
      <c r="H42" s="1075">
        <v>186661</v>
      </c>
      <c r="I42" s="1075">
        <v>228950</v>
      </c>
      <c r="J42" s="1075">
        <v>271546</v>
      </c>
      <c r="L42" s="596" t="s">
        <v>1331</v>
      </c>
      <c r="M42" s="596" t="s">
        <v>3374</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1331</v>
      </c>
      <c r="E43" s="1074" t="s">
        <v>3375</v>
      </c>
      <c r="F43" s="1075">
        <v>101764</v>
      </c>
      <c r="G43" s="1075">
        <v>140627</v>
      </c>
      <c r="H43" s="1075">
        <v>178438</v>
      </c>
      <c r="I43" s="1075">
        <v>233177</v>
      </c>
      <c r="J43" s="1075">
        <v>290589</v>
      </c>
      <c r="L43" s="596" t="s">
        <v>1331</v>
      </c>
      <c r="M43" s="596" t="s">
        <v>3375</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1337</v>
      </c>
      <c r="E44" s="1066" t="s">
        <v>3379</v>
      </c>
      <c r="F44" s="1067">
        <v>135165</v>
      </c>
      <c r="G44" s="1067">
        <v>176624</v>
      </c>
      <c r="H44" s="1067">
        <v>214065</v>
      </c>
      <c r="I44" s="1067">
        <v>261200</v>
      </c>
      <c r="J44" s="1067">
        <v>307162</v>
      </c>
      <c r="L44" s="596" t="s">
        <v>1337</v>
      </c>
      <c r="M44" s="596" t="s">
        <v>3379</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1337</v>
      </c>
      <c r="E45" s="1066" t="s">
        <v>3376</v>
      </c>
      <c r="F45" s="1067">
        <v>110006</v>
      </c>
      <c r="G45" s="1067">
        <v>154008</v>
      </c>
      <c r="H45" s="1067">
        <v>198011</v>
      </c>
      <c r="I45" s="1067">
        <v>264014</v>
      </c>
      <c r="J45" s="1067">
        <v>330018</v>
      </c>
      <c r="L45" s="596" t="s">
        <v>1337</v>
      </c>
      <c r="M45" s="596" t="s">
        <v>3376</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1337</v>
      </c>
      <c r="E46" s="1066" t="s">
        <v>3374</v>
      </c>
      <c r="F46" s="1067">
        <v>124455</v>
      </c>
      <c r="G46" s="1067">
        <v>162712</v>
      </c>
      <c r="H46" s="1067">
        <v>197548</v>
      </c>
      <c r="I46" s="1067">
        <v>241944</v>
      </c>
      <c r="J46" s="1067">
        <v>286771</v>
      </c>
      <c r="L46" s="596" t="s">
        <v>1337</v>
      </c>
      <c r="M46" s="596" t="s">
        <v>3374</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1337</v>
      </c>
      <c r="E47" s="1066" t="s">
        <v>3375</v>
      </c>
      <c r="F47" s="1067">
        <v>108329</v>
      </c>
      <c r="G47" s="1067">
        <v>149776</v>
      </c>
      <c r="H47" s="1067">
        <v>190145</v>
      </c>
      <c r="I47" s="1067">
        <v>248674</v>
      </c>
      <c r="J47" s="1067">
        <v>309940</v>
      </c>
      <c r="L47" s="596" t="s">
        <v>1337</v>
      </c>
      <c r="M47" s="596" t="s">
        <v>3375</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1708</v>
      </c>
      <c r="E48" s="1070" t="s">
        <v>3379</v>
      </c>
      <c r="F48" s="1071">
        <v>122990</v>
      </c>
      <c r="G48" s="1071">
        <v>160975</v>
      </c>
      <c r="H48" s="1071">
        <v>195338</v>
      </c>
      <c r="I48" s="1071">
        <v>238786</v>
      </c>
      <c r="J48" s="1071">
        <v>280955</v>
      </c>
      <c r="L48" s="596" t="s">
        <v>1708</v>
      </c>
      <c r="M48" s="596" t="s">
        <v>3379</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1708</v>
      </c>
      <c r="E49" s="1070" t="s">
        <v>3376</v>
      </c>
      <c r="F49" s="1071">
        <v>100398</v>
      </c>
      <c r="G49" s="1071">
        <v>140558</v>
      </c>
      <c r="H49" s="1071">
        <v>180717</v>
      </c>
      <c r="I49" s="1071">
        <v>240956</v>
      </c>
      <c r="J49" s="1071">
        <v>301195</v>
      </c>
      <c r="L49" s="596" t="s">
        <v>1708</v>
      </c>
      <c r="M49" s="596" t="s">
        <v>3376</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1708</v>
      </c>
      <c r="E50" s="1070" t="s">
        <v>3374</v>
      </c>
      <c r="F50" s="1071">
        <v>112773</v>
      </c>
      <c r="G50" s="1071">
        <v>147703</v>
      </c>
      <c r="H50" s="1071">
        <v>179581</v>
      </c>
      <c r="I50" s="1071">
        <v>220415</v>
      </c>
      <c r="J50" s="1071">
        <v>261501</v>
      </c>
      <c r="L50" s="596" t="s">
        <v>1708</v>
      </c>
      <c r="M50" s="596" t="s">
        <v>3374</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1708</v>
      </c>
      <c r="E51" s="1070" t="s">
        <v>3375</v>
      </c>
      <c r="F51" s="1071">
        <v>97643</v>
      </c>
      <c r="G51" s="1071">
        <v>134902</v>
      </c>
      <c r="H51" s="1071">
        <v>171133</v>
      </c>
      <c r="I51" s="1071">
        <v>223548</v>
      </c>
      <c r="J51" s="1071">
        <v>278574</v>
      </c>
      <c r="L51" s="596" t="s">
        <v>1708</v>
      </c>
      <c r="M51" s="596" t="s">
        <v>3375</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1205</v>
      </c>
      <c r="C60" s="177"/>
      <c r="D60" s="175"/>
      <c r="E60" s="175"/>
      <c r="F60" s="177" t="s">
        <v>1206</v>
      </c>
      <c r="G60" s="177" t="s">
        <v>3688</v>
      </c>
      <c r="H60" s="175"/>
      <c r="I60" s="175"/>
      <c r="J60" s="177" t="s">
        <v>1541</v>
      </c>
      <c r="K60" s="177"/>
      <c r="L60" s="177"/>
      <c r="M60" s="177"/>
      <c r="N60" s="177"/>
      <c r="O60" s="177"/>
      <c r="P60" s="175"/>
      <c r="Q60" s="1210">
        <v>4500</v>
      </c>
      <c r="R60" s="291" t="s">
        <v>1745</v>
      </c>
      <c r="S60" s="292"/>
      <c r="AA60" s="536"/>
      <c r="AB60" s="536"/>
    </row>
    <row r="61" spans="1:28" s="280" customFormat="1" ht="11.45" customHeight="1">
      <c r="A61" s="175"/>
      <c r="B61" s="177"/>
      <c r="C61" s="177"/>
      <c r="D61" s="175"/>
      <c r="E61" s="175"/>
      <c r="F61" s="177"/>
      <c r="G61" s="177" t="s">
        <v>3687</v>
      </c>
      <c r="H61" s="175"/>
      <c r="I61" s="175"/>
      <c r="J61" s="177" t="s">
        <v>1541</v>
      </c>
      <c r="K61" s="177"/>
      <c r="L61" s="177"/>
      <c r="M61" s="177"/>
      <c r="N61" s="177"/>
      <c r="O61" s="177"/>
      <c r="P61" s="175"/>
      <c r="Q61" s="1210">
        <v>4000</v>
      </c>
      <c r="R61" s="291" t="s">
        <v>1745</v>
      </c>
      <c r="S61" s="292"/>
      <c r="AA61" s="536"/>
      <c r="AB61" s="536"/>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0">
        <v>3500</v>
      </c>
      <c r="R62" s="291" t="s">
        <v>1745</v>
      </c>
      <c r="S62" s="292"/>
      <c r="AA62" s="536"/>
      <c r="AB62" s="536"/>
    </row>
    <row r="63" spans="1:28" s="280" customFormat="1" ht="11.45" customHeight="1">
      <c r="A63" s="177"/>
      <c r="B63" s="177"/>
      <c r="C63" s="177"/>
      <c r="D63" s="175"/>
      <c r="E63" s="175"/>
      <c r="G63" s="177" t="s">
        <v>2628</v>
      </c>
      <c r="H63" s="175"/>
      <c r="I63" s="175"/>
      <c r="J63" s="177" t="s">
        <v>1541</v>
      </c>
      <c r="K63" s="177"/>
      <c r="L63" s="177"/>
      <c r="M63" s="177"/>
      <c r="N63" s="177"/>
      <c r="O63" s="177"/>
      <c r="P63" s="175"/>
      <c r="Q63" s="1210">
        <v>3000</v>
      </c>
      <c r="R63" s="291" t="s">
        <v>1745</v>
      </c>
      <c r="S63" s="292"/>
      <c r="AA63" s="536"/>
      <c r="AB63" s="536"/>
    </row>
    <row r="64" spans="1:28" s="280" customFormat="1" ht="11.45" customHeight="1">
      <c r="A64" s="177"/>
      <c r="B64" s="177"/>
      <c r="C64" s="177"/>
      <c r="D64" s="175"/>
      <c r="E64" s="175"/>
      <c r="G64" s="177" t="s">
        <v>3983</v>
      </c>
      <c r="H64" s="175"/>
      <c r="I64" s="175"/>
      <c r="J64" s="177" t="s">
        <v>1541</v>
      </c>
      <c r="K64" s="177"/>
      <c r="L64" s="177"/>
      <c r="M64" s="177"/>
      <c r="N64" s="177"/>
      <c r="O64" s="177"/>
      <c r="P64" s="175"/>
      <c r="Q64" s="1210">
        <v>3000</v>
      </c>
      <c r="R64" s="291" t="s">
        <v>1745</v>
      </c>
      <c r="S64" s="292"/>
      <c r="T64" s="292"/>
      <c r="U64" s="292"/>
      <c r="AA64" s="536"/>
      <c r="AB64" s="536"/>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1">
        <v>350</v>
      </c>
      <c r="R65" s="291" t="s">
        <v>1745</v>
      </c>
      <c r="S65" s="292"/>
      <c r="T65" s="292"/>
      <c r="U65" s="292"/>
      <c r="AA65" s="536"/>
      <c r="AB65" s="536"/>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1">
        <v>250</v>
      </c>
      <c r="R66" s="291" t="s">
        <v>1745</v>
      </c>
      <c r="S66" s="292"/>
      <c r="T66" s="292"/>
      <c r="U66" s="292"/>
      <c r="AA66" s="536"/>
      <c r="AB66" s="536"/>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1">
        <v>420</v>
      </c>
      <c r="R67" s="291" t="s">
        <v>1745</v>
      </c>
      <c r="S67" s="292"/>
      <c r="T67" s="292"/>
      <c r="U67" s="292"/>
      <c r="AA67" s="536"/>
      <c r="AB67" s="536"/>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1">
        <v>420</v>
      </c>
      <c r="R68" s="291" t="s">
        <v>1745</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767</v>
      </c>
      <c r="C71" s="177"/>
      <c r="D71" s="175"/>
      <c r="E71" s="175"/>
      <c r="F71" s="177" t="s">
        <v>278</v>
      </c>
      <c r="G71" s="177"/>
      <c r="H71" s="175"/>
      <c r="I71" s="175"/>
      <c r="J71" s="177" t="s">
        <v>3898</v>
      </c>
      <c r="K71" s="177"/>
      <c r="L71" s="177"/>
      <c r="M71" s="177"/>
      <c r="N71" s="177"/>
      <c r="O71" s="177"/>
      <c r="P71" s="175"/>
      <c r="Q71" s="1611">
        <v>25000</v>
      </c>
      <c r="R71" s="291" t="s">
        <v>511</v>
      </c>
      <c r="S71" s="292"/>
      <c r="T71" s="292"/>
      <c r="U71" s="292"/>
      <c r="AA71" s="536"/>
      <c r="AB71" s="536"/>
    </row>
    <row r="72" spans="1:28" s="280" customFormat="1" ht="11.45" customHeight="1">
      <c r="A72" s="177"/>
      <c r="B72" s="177" t="s">
        <v>1976</v>
      </c>
      <c r="C72" s="177"/>
      <c r="D72" s="175"/>
      <c r="E72" s="175"/>
      <c r="F72" s="177" t="s">
        <v>1208</v>
      </c>
      <c r="G72" s="177"/>
      <c r="H72" s="175"/>
      <c r="I72" s="175"/>
      <c r="J72" s="177" t="s">
        <v>3984</v>
      </c>
      <c r="K72" s="177"/>
      <c r="L72" s="177"/>
      <c r="M72" s="177"/>
      <c r="N72" s="177"/>
      <c r="O72" s="177"/>
      <c r="P72" s="175"/>
      <c r="Q72" s="1610" t="s">
        <v>978</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978</v>
      </c>
      <c r="R73" s="1610">
        <v>0.1</v>
      </c>
      <c r="S73" s="292"/>
      <c r="T73" s="292"/>
      <c r="U73" s="292"/>
      <c r="AA73" s="536"/>
      <c r="AB73" s="536"/>
    </row>
    <row r="74" spans="1:28" s="280" customFormat="1" ht="11.45" customHeight="1">
      <c r="A74" s="177"/>
      <c r="B74" s="177" t="s">
        <v>2053</v>
      </c>
      <c r="C74" s="177"/>
      <c r="D74" s="175"/>
      <c r="E74" s="175"/>
      <c r="F74" s="177" t="s">
        <v>1745</v>
      </c>
      <c r="G74" s="177"/>
      <c r="H74" s="175"/>
      <c r="I74" s="175"/>
      <c r="J74" s="177" t="s">
        <v>3985</v>
      </c>
      <c r="K74" s="177"/>
      <c r="L74" s="177"/>
      <c r="M74" s="177"/>
      <c r="N74" s="177"/>
      <c r="O74" s="177"/>
      <c r="P74" s="175"/>
      <c r="Q74" s="291" t="s">
        <v>1745</v>
      </c>
      <c r="R74" s="1610">
        <v>0.06</v>
      </c>
      <c r="S74" s="292"/>
      <c r="T74" s="292"/>
      <c r="U74" s="292"/>
      <c r="AA74" s="536"/>
      <c r="AB74" s="536"/>
    </row>
    <row r="75" spans="1:28" s="280" customFormat="1" ht="11.45" customHeight="1">
      <c r="A75" s="177"/>
      <c r="B75" s="177" t="s">
        <v>2054</v>
      </c>
      <c r="C75" s="177"/>
      <c r="D75" s="175"/>
      <c r="E75" s="175"/>
      <c r="F75" s="177" t="s">
        <v>1745</v>
      </c>
      <c r="G75" s="177"/>
      <c r="H75" s="175"/>
      <c r="I75" s="175"/>
      <c r="J75" s="177" t="s">
        <v>3985</v>
      </c>
      <c r="K75" s="177"/>
      <c r="L75" s="177"/>
      <c r="M75" s="177"/>
      <c r="N75" s="177"/>
      <c r="O75" s="177"/>
      <c r="P75" s="175"/>
      <c r="Q75" s="291" t="s">
        <v>1745</v>
      </c>
      <c r="R75" s="1610">
        <v>0.02</v>
      </c>
      <c r="S75" s="292"/>
      <c r="T75" s="292"/>
      <c r="U75" s="292"/>
      <c r="AA75" s="536"/>
      <c r="AB75" s="536"/>
    </row>
    <row r="76" spans="1:28" s="280" customFormat="1" ht="11.45" customHeight="1">
      <c r="A76" s="177"/>
      <c r="B76" s="177" t="s">
        <v>2834</v>
      </c>
      <c r="C76" s="177"/>
      <c r="D76" s="175"/>
      <c r="E76" s="175"/>
      <c r="F76" s="177" t="s">
        <v>1745</v>
      </c>
      <c r="G76" s="177"/>
      <c r="H76" s="175"/>
      <c r="I76" s="175"/>
      <c r="J76" s="177" t="s">
        <v>3985</v>
      </c>
      <c r="K76" s="177"/>
      <c r="L76" s="177"/>
      <c r="M76" s="177"/>
      <c r="N76" s="177"/>
      <c r="O76" s="177"/>
      <c r="P76" s="175"/>
      <c r="Q76" s="291" t="s">
        <v>1745</v>
      </c>
      <c r="R76" s="1610">
        <v>0.06</v>
      </c>
      <c r="S76" s="292"/>
      <c r="T76" s="292"/>
      <c r="U76" s="292"/>
      <c r="AA76" s="536"/>
      <c r="AB76" s="536"/>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611">
        <v>20000</v>
      </c>
      <c r="S77" s="292"/>
      <c r="T77" s="292"/>
      <c r="U77" s="292"/>
      <c r="AA77" s="536"/>
      <c r="AB77" s="536"/>
    </row>
    <row r="78" spans="1:28" s="280" customFormat="1" ht="11.45" customHeight="1">
      <c r="A78" s="175"/>
      <c r="B78" s="292" t="s">
        <v>3879</v>
      </c>
      <c r="C78" s="177"/>
      <c r="D78" s="177"/>
      <c r="E78" s="175"/>
      <c r="F78" s="179" t="s">
        <v>3502</v>
      </c>
      <c r="G78" s="177"/>
      <c r="H78" s="175"/>
      <c r="I78" s="175"/>
      <c r="J78" s="177" t="s">
        <v>1211</v>
      </c>
      <c r="K78" s="177"/>
      <c r="L78" s="177"/>
      <c r="M78" s="177"/>
      <c r="N78" s="177"/>
      <c r="O78" s="177"/>
      <c r="P78" s="175"/>
      <c r="Q78" s="2339">
        <v>1000</v>
      </c>
      <c r="R78" s="2340"/>
      <c r="S78" s="292"/>
      <c r="T78" s="292"/>
      <c r="U78" s="292"/>
      <c r="AA78" s="536"/>
      <c r="AB78" s="536"/>
    </row>
    <row r="79" spans="1:28" s="280" customFormat="1" ht="11.45" customHeight="1">
      <c r="A79" s="177"/>
      <c r="B79" s="177"/>
      <c r="C79" s="177"/>
      <c r="D79" s="177"/>
      <c r="E79" s="175"/>
      <c r="G79" s="177"/>
      <c r="H79" s="175"/>
      <c r="I79" s="175"/>
      <c r="J79" s="177" t="s">
        <v>1212</v>
      </c>
      <c r="K79" s="177"/>
      <c r="L79" s="177"/>
      <c r="M79" s="177"/>
      <c r="N79" s="177"/>
      <c r="O79" s="177"/>
      <c r="P79" s="175"/>
      <c r="Q79" s="2339">
        <v>500</v>
      </c>
      <c r="R79" s="2340"/>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9">
        <v>1500</v>
      </c>
      <c r="R80" s="2340"/>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9">
        <v>1500</v>
      </c>
      <c r="R81" s="2340"/>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9">
        <v>1500</v>
      </c>
      <c r="R82" s="2340"/>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9">
        <v>1500</v>
      </c>
      <c r="R83" s="2340"/>
      <c r="S83" s="292"/>
      <c r="T83" s="292"/>
      <c r="U83" s="292"/>
      <c r="AA83" s="536"/>
      <c r="AB83" s="536"/>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2339">
        <v>6500</v>
      </c>
      <c r="R84" s="2340"/>
      <c r="S84" s="292"/>
      <c r="T84" s="292"/>
      <c r="U84" s="292"/>
      <c r="AA84" s="536"/>
      <c r="AB84" s="536"/>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2339">
        <v>5500</v>
      </c>
      <c r="R85" s="2340"/>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9">
        <v>5000</v>
      </c>
      <c r="R86" s="2340"/>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9">
        <v>1500</v>
      </c>
      <c r="R87" s="2340"/>
      <c r="S87" s="292"/>
      <c r="T87" s="292"/>
      <c r="U87" s="292"/>
      <c r="AA87" s="536"/>
      <c r="AB87" s="536"/>
    </row>
    <row r="88" spans="1:28" s="280" customFormat="1" ht="11.45" customHeight="1">
      <c r="A88" s="177"/>
      <c r="C88" s="177"/>
      <c r="D88" s="175"/>
      <c r="E88" s="175"/>
      <c r="F88" s="179" t="s">
        <v>956</v>
      </c>
      <c r="H88" s="177"/>
      <c r="I88" s="175"/>
      <c r="J88" s="177" t="s">
        <v>957</v>
      </c>
      <c r="K88" s="177"/>
      <c r="L88" s="177"/>
      <c r="M88" s="177"/>
      <c r="N88" s="177"/>
      <c r="O88" s="177"/>
      <c r="P88" s="175"/>
      <c r="Q88" s="2332">
        <v>0.08</v>
      </c>
      <c r="R88" s="2332"/>
      <c r="S88" s="292"/>
      <c r="T88" s="292"/>
      <c r="U88" s="292"/>
      <c r="AA88" s="536"/>
      <c r="AB88" s="536"/>
    </row>
    <row r="89" spans="1:28" s="280" customFormat="1" ht="11.45" customHeight="1">
      <c r="A89" s="177"/>
      <c r="C89" s="177"/>
      <c r="D89" s="175"/>
      <c r="E89" s="175"/>
      <c r="F89" s="179" t="s">
        <v>958</v>
      </c>
      <c r="H89" s="177"/>
      <c r="I89" s="175"/>
      <c r="J89" s="177" t="s">
        <v>957</v>
      </c>
      <c r="K89" s="177"/>
      <c r="L89" s="177"/>
      <c r="M89" s="177"/>
      <c r="N89" s="177"/>
      <c r="O89" s="177"/>
      <c r="P89" s="175"/>
      <c r="Q89" s="2332">
        <v>0.08</v>
      </c>
      <c r="R89" s="2332"/>
      <c r="S89" s="292"/>
      <c r="T89" s="292"/>
      <c r="U89" s="292"/>
      <c r="AA89" s="536"/>
      <c r="AB89" s="536"/>
    </row>
    <row r="90" spans="1:28" s="280" customFormat="1" ht="11.45" customHeight="1">
      <c r="A90" s="177"/>
      <c r="C90" s="177"/>
      <c r="D90" s="175"/>
      <c r="E90" s="175"/>
      <c r="F90" s="179" t="s">
        <v>4300</v>
      </c>
      <c r="H90" s="177"/>
      <c r="I90" s="175"/>
      <c r="J90" s="177"/>
      <c r="K90" s="177"/>
      <c r="L90" s="177"/>
      <c r="M90" s="177"/>
      <c r="N90" s="177"/>
      <c r="O90" s="177"/>
      <c r="P90" s="175"/>
      <c r="Q90" s="2339">
        <v>3000</v>
      </c>
      <c r="R90" s="2340"/>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2339">
        <v>1500</v>
      </c>
      <c r="R91" s="2340"/>
      <c r="S91" s="292"/>
      <c r="T91" s="292"/>
      <c r="U91" s="292"/>
      <c r="AA91" s="536"/>
      <c r="AB91" s="536"/>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6"/>
      <c r="AB92" s="536"/>
    </row>
    <row r="93" spans="1:28" s="280" customFormat="1" ht="11.45" customHeight="1">
      <c r="A93" s="177"/>
      <c r="B93" s="177"/>
      <c r="C93" s="177"/>
      <c r="D93" s="175"/>
      <c r="E93" s="175"/>
      <c r="H93" s="179" t="s">
        <v>2698</v>
      </c>
      <c r="I93" s="305"/>
      <c r="J93" s="179" t="s">
        <v>1541</v>
      </c>
      <c r="K93" s="179" t="s">
        <v>3917</v>
      </c>
      <c r="L93" s="179"/>
      <c r="M93" s="179"/>
      <c r="N93" s="179"/>
      <c r="O93" s="179"/>
      <c r="P93" s="305"/>
      <c r="Q93" s="1196">
        <f>Q92</f>
        <v>800</v>
      </c>
      <c r="R93" s="1196" t="s">
        <v>1745</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6"/>
      <c r="AB94" s="536"/>
    </row>
    <row r="95" spans="1:28" s="280" customFormat="1" ht="11.45" customHeight="1">
      <c r="A95" s="177"/>
      <c r="B95" s="177"/>
      <c r="C95" s="177"/>
      <c r="D95" s="175"/>
      <c r="E95" s="175"/>
      <c r="H95" s="177" t="s">
        <v>4255</v>
      </c>
      <c r="I95" s="175"/>
      <c r="J95" s="177" t="s">
        <v>1775</v>
      </c>
      <c r="K95" s="177"/>
      <c r="L95" s="177"/>
      <c r="M95" s="177"/>
      <c r="N95" s="177"/>
      <c r="O95" s="177"/>
      <c r="P95" s="175"/>
      <c r="Q95" s="291">
        <v>750</v>
      </c>
      <c r="R95" s="291" t="s">
        <v>1745</v>
      </c>
      <c r="S95" s="292"/>
      <c r="T95" s="292"/>
      <c r="U95" s="292"/>
      <c r="AA95" s="536"/>
      <c r="AB95" s="536"/>
    </row>
    <row r="96" spans="1:28" s="280" customFormat="1" ht="11.45" customHeight="1">
      <c r="A96" s="177"/>
      <c r="B96" s="179"/>
      <c r="C96" s="177"/>
      <c r="D96" s="175"/>
      <c r="E96" s="175"/>
      <c r="H96" s="177" t="s">
        <v>3461</v>
      </c>
      <c r="I96" s="175"/>
      <c r="J96" s="177" t="s">
        <v>3462</v>
      </c>
      <c r="K96" s="177"/>
      <c r="L96" s="177" t="s">
        <v>2838</v>
      </c>
      <c r="M96" s="177"/>
      <c r="N96" s="177"/>
      <c r="O96" s="177"/>
      <c r="P96" s="175"/>
      <c r="Q96" s="2339">
        <v>75</v>
      </c>
      <c r="R96" s="2340"/>
      <c r="S96" s="292"/>
      <c r="T96" s="292"/>
      <c r="U96" s="292"/>
      <c r="AA96" s="536"/>
      <c r="AB96" s="536"/>
    </row>
    <row r="97" spans="1:28" s="280" customFormat="1" ht="13.5">
      <c r="A97" s="177"/>
      <c r="B97" s="177" t="s">
        <v>1875</v>
      </c>
      <c r="C97" s="177"/>
      <c r="D97" s="1212" t="s">
        <v>3986</v>
      </c>
      <c r="E97" s="175"/>
      <c r="F97" s="177"/>
      <c r="G97" s="177"/>
      <c r="H97" s="177"/>
      <c r="I97" s="175"/>
      <c r="J97" s="177" t="s">
        <v>1742</v>
      </c>
      <c r="K97" s="177"/>
      <c r="L97" s="177"/>
      <c r="M97" s="177"/>
      <c r="N97" s="177"/>
      <c r="O97" s="177"/>
      <c r="P97" s="175"/>
      <c r="Q97" s="2343">
        <v>1800000</v>
      </c>
      <c r="R97" s="2344"/>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3">
        <v>3500000</v>
      </c>
      <c r="R98" s="2344"/>
      <c r="S98" s="292"/>
      <c r="T98" s="292"/>
      <c r="U98" s="292"/>
      <c r="AA98" s="536"/>
      <c r="AB98" s="536"/>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2341">
        <v>0.15</v>
      </c>
      <c r="R99" s="2342"/>
      <c r="S99" s="292"/>
      <c r="T99" s="292"/>
      <c r="U99" s="292"/>
      <c r="AA99" s="536"/>
      <c r="AB99" s="536"/>
    </row>
    <row r="100" spans="1:28" s="280" customFormat="1" ht="13.5" hidden="1">
      <c r="A100" s="177"/>
      <c r="B100" s="397"/>
      <c r="C100" s="177"/>
      <c r="D100" s="175"/>
      <c r="E100" s="175"/>
      <c r="F100" s="177"/>
      <c r="G100" s="177"/>
      <c r="H100" s="177" t="s">
        <v>3659</v>
      </c>
      <c r="I100" s="177" t="s">
        <v>980</v>
      </c>
      <c r="J100" s="177" t="s">
        <v>982</v>
      </c>
      <c r="K100" s="177"/>
      <c r="L100" s="177"/>
      <c r="M100" s="177"/>
      <c r="N100" s="177"/>
      <c r="O100" s="177"/>
      <c r="P100" s="175"/>
      <c r="Q100" s="2341">
        <v>0.15</v>
      </c>
      <c r="R100" s="2342"/>
      <c r="S100" s="292"/>
      <c r="T100" s="292"/>
      <c r="U100" s="292"/>
      <c r="AA100" s="536"/>
      <c r="AB100" s="536"/>
    </row>
    <row r="101" spans="1:28" s="280" customFormat="1" ht="13.5" hidden="1">
      <c r="A101" s="177"/>
      <c r="B101" s="397"/>
      <c r="C101" s="177"/>
      <c r="D101" s="175"/>
      <c r="E101" s="175"/>
      <c r="F101" s="177"/>
      <c r="G101" s="177"/>
      <c r="H101" s="177"/>
      <c r="I101" s="177" t="s">
        <v>981</v>
      </c>
      <c r="J101" s="177" t="s">
        <v>984</v>
      </c>
      <c r="K101" s="177"/>
      <c r="L101" s="177"/>
      <c r="M101" s="177"/>
      <c r="N101" s="177"/>
      <c r="O101" s="177"/>
      <c r="P101" s="175"/>
      <c r="Q101" s="2341">
        <v>0.15</v>
      </c>
      <c r="R101" s="2342"/>
      <c r="S101" s="292"/>
      <c r="T101" s="292"/>
      <c r="U101" s="292"/>
      <c r="AA101" s="536"/>
      <c r="AB101" s="536"/>
    </row>
    <row r="102" spans="1:28" s="280" customFormat="1" ht="13.5" hidden="1">
      <c r="A102" s="177"/>
      <c r="B102" s="397"/>
      <c r="C102" s="177"/>
      <c r="D102" s="175"/>
      <c r="E102" s="175"/>
      <c r="F102" s="177"/>
      <c r="G102" s="177"/>
      <c r="H102" s="177" t="s">
        <v>979</v>
      </c>
      <c r="I102" s="175"/>
      <c r="J102" s="177" t="s">
        <v>984</v>
      </c>
      <c r="K102" s="177"/>
      <c r="L102" s="177"/>
      <c r="M102" s="177"/>
      <c r="N102" s="177"/>
      <c r="O102" s="177"/>
      <c r="P102" s="175"/>
      <c r="Q102" s="2341">
        <v>0.15</v>
      </c>
      <c r="R102" s="2342"/>
      <c r="S102" s="292"/>
      <c r="T102" s="292"/>
      <c r="U102" s="292"/>
      <c r="AA102" s="536"/>
      <c r="AB102" s="536"/>
    </row>
    <row r="103" spans="1:28" s="280" customFormat="1" ht="13.5" hidden="1">
      <c r="A103" s="177"/>
      <c r="B103" s="397"/>
      <c r="C103" s="177"/>
      <c r="D103" s="175"/>
      <c r="E103" s="175"/>
      <c r="F103" s="177"/>
      <c r="G103" s="177"/>
      <c r="H103" s="177"/>
      <c r="I103" s="177" t="s">
        <v>985</v>
      </c>
      <c r="J103" s="177" t="s">
        <v>986</v>
      </c>
      <c r="K103" s="177"/>
      <c r="L103" s="177"/>
      <c r="M103" s="177"/>
      <c r="N103" s="177"/>
      <c r="O103" s="177"/>
      <c r="P103" s="175"/>
      <c r="Q103" s="2341">
        <v>0.15</v>
      </c>
      <c r="R103" s="2342"/>
      <c r="S103" s="292"/>
      <c r="T103" s="292"/>
      <c r="U103" s="292"/>
      <c r="AA103" s="536"/>
      <c r="AB103" s="536"/>
    </row>
    <row r="104" spans="1:28" s="280" customFormat="1" ht="13.5" hidden="1">
      <c r="A104" s="177"/>
      <c r="B104" s="397"/>
      <c r="C104" s="177"/>
      <c r="D104" s="175"/>
      <c r="E104" s="175"/>
      <c r="F104" s="177" t="s">
        <v>1771</v>
      </c>
      <c r="G104" s="177"/>
      <c r="H104" s="177"/>
      <c r="I104" s="175"/>
      <c r="J104" s="177" t="s">
        <v>2386</v>
      </c>
      <c r="K104" s="177"/>
      <c r="L104" s="177"/>
      <c r="M104" s="177"/>
      <c r="N104" s="177"/>
      <c r="O104" s="177"/>
      <c r="P104" s="175"/>
      <c r="Q104" s="2341">
        <v>0.15</v>
      </c>
      <c r="R104" s="2342"/>
      <c r="S104" s="292"/>
      <c r="T104" s="292"/>
      <c r="U104" s="292"/>
      <c r="AA104" s="536"/>
      <c r="AB104" s="536"/>
    </row>
    <row r="105" spans="1:28" s="280" customFormat="1" ht="13.5" hidden="1">
      <c r="A105" s="177"/>
      <c r="B105" s="397"/>
      <c r="C105" s="177"/>
      <c r="D105" s="175"/>
      <c r="E105" s="175"/>
      <c r="G105" s="177"/>
      <c r="H105" s="177"/>
      <c r="I105" s="175"/>
      <c r="J105" s="177" t="s">
        <v>2387</v>
      </c>
      <c r="K105" s="177"/>
      <c r="L105" s="177"/>
      <c r="M105" s="177"/>
      <c r="N105" s="177"/>
      <c r="O105" s="177"/>
      <c r="P105" s="175"/>
      <c r="Q105" s="2341" t="s">
        <v>2388</v>
      </c>
      <c r="R105" s="2342"/>
      <c r="S105" s="292"/>
      <c r="T105" s="292"/>
      <c r="U105" s="292"/>
      <c r="AA105" s="536"/>
      <c r="AB105" s="536"/>
    </row>
    <row r="106" spans="1:28" s="280" customFormat="1" ht="13.5">
      <c r="A106" s="177"/>
      <c r="B106" s="397"/>
      <c r="C106" s="177"/>
      <c r="D106" s="175"/>
      <c r="E106" s="175"/>
      <c r="F106" s="177" t="s">
        <v>2048</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2047</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6"/>
      <c r="AB108" s="536"/>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6"/>
      <c r="AB109" s="536"/>
    </row>
    <row r="110" spans="1:28" s="280" customFormat="1" ht="11.45" customHeight="1">
      <c r="A110" s="177"/>
      <c r="B110" s="399"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2339">
        <v>3000</v>
      </c>
      <c r="R111" s="234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2332">
        <v>0.02</v>
      </c>
      <c r="R119" s="2332"/>
      <c r="AA119" s="536"/>
      <c r="AB119" s="536"/>
    </row>
    <row r="120" spans="1:28" s="292" customFormat="1" ht="11.45" customHeight="1">
      <c r="A120" s="177"/>
      <c r="B120" s="177" t="s">
        <v>1779</v>
      </c>
      <c r="C120" s="177"/>
      <c r="D120" s="177"/>
      <c r="E120" s="177"/>
      <c r="F120" s="177"/>
      <c r="G120" s="177"/>
      <c r="H120" s="177"/>
      <c r="J120" s="177" t="s">
        <v>1778</v>
      </c>
      <c r="K120" s="177"/>
      <c r="L120" s="177"/>
      <c r="M120" s="177"/>
      <c r="N120" s="177"/>
      <c r="O120" s="177"/>
      <c r="Q120" s="2332">
        <v>7.0000000000000007E-2</v>
      </c>
      <c r="R120" s="2332"/>
      <c r="AA120" s="536"/>
      <c r="AB120" s="536"/>
    </row>
    <row r="121" spans="1:28" s="292" customFormat="1" ht="11.45" customHeight="1">
      <c r="A121" s="177"/>
      <c r="B121" s="177" t="s">
        <v>1780</v>
      </c>
      <c r="C121" s="177"/>
      <c r="D121" s="177"/>
      <c r="E121" s="177"/>
      <c r="F121" s="177"/>
      <c r="G121" s="177"/>
      <c r="H121" s="177"/>
      <c r="J121" s="177" t="s">
        <v>1778</v>
      </c>
      <c r="K121" s="177"/>
      <c r="L121" s="177"/>
      <c r="M121" s="177"/>
      <c r="N121" s="177"/>
      <c r="O121" s="177"/>
      <c r="Q121" s="2332">
        <v>7.0000000000000007E-2</v>
      </c>
      <c r="R121" s="2332"/>
      <c r="AA121" s="536"/>
      <c r="AB121" s="536"/>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2332">
        <v>0.03</v>
      </c>
      <c r="R122" s="2332"/>
      <c r="S122" s="292"/>
      <c r="T122" s="292"/>
      <c r="U122" s="292"/>
      <c r="AA122" s="536"/>
      <c r="AB122" s="536"/>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2332">
        <v>0.03</v>
      </c>
      <c r="R123" s="2332"/>
      <c r="S123" s="292"/>
      <c r="T123" s="292"/>
      <c r="U123" s="292"/>
      <c r="AA123" s="536"/>
      <c r="AB123" s="536"/>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2332">
        <v>0</v>
      </c>
      <c r="R124" s="233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2332">
        <v>0.1</v>
      </c>
      <c r="R126" s="233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1">
        <v>1000000</v>
      </c>
      <c r="R127" s="23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1">
        <v>1500000</v>
      </c>
      <c r="R128" s="23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1">
        <v>375000</v>
      </c>
      <c r="R129" s="2331"/>
      <c r="S129" s="286"/>
      <c r="T129" s="286"/>
      <c r="U129" s="175"/>
      <c r="V129" s="1056"/>
      <c r="W129" s="1056"/>
      <c r="X129" s="1056"/>
      <c r="AA129" s="536"/>
      <c r="AB129" s="536"/>
    </row>
    <row r="130" spans="1:28" s="280" customFormat="1" ht="11.45" customHeight="1">
      <c r="A130" s="177"/>
      <c r="B130" s="177"/>
      <c r="C130" s="177"/>
      <c r="D130" s="175"/>
      <c r="E130" s="175"/>
      <c r="F130" s="177" t="s">
        <v>2424</v>
      </c>
      <c r="G130" s="177"/>
      <c r="H130" s="177" t="s">
        <v>2695</v>
      </c>
      <c r="I130" s="175"/>
      <c r="J130" s="177" t="s">
        <v>3982</v>
      </c>
      <c r="K130" s="177"/>
      <c r="L130" s="177"/>
      <c r="M130" s="177"/>
      <c r="N130" s="177"/>
      <c r="O130" s="177"/>
      <c r="P130" s="175"/>
      <c r="Q130" s="2331">
        <v>4000000</v>
      </c>
      <c r="R130" s="23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2332">
        <v>0.35</v>
      </c>
      <c r="R133" s="2332"/>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2332" t="s">
        <v>2837</v>
      </c>
      <c r="R134" s="233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2">
        <v>0.05</v>
      </c>
      <c r="R136" s="2332"/>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2">
        <v>0.4</v>
      </c>
      <c r="R137" s="2332"/>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2">
        <v>0.02</v>
      </c>
      <c r="R138" s="233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811</v>
      </c>
      <c r="K141" s="2898"/>
      <c r="L141" s="278"/>
    </row>
    <row r="142" spans="1:28" ht="13.5">
      <c r="C142" s="177"/>
      <c r="D142" s="175"/>
      <c r="J142" s="2899" t="s">
        <v>814</v>
      </c>
      <c r="K142" s="2899" t="s">
        <v>812</v>
      </c>
      <c r="L142" s="396" t="s">
        <v>813</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0" t="s">
        <v>4234</v>
      </c>
      <c r="E151" s="292"/>
      <c r="F151" s="292"/>
    </row>
    <row r="152" spans="2:30" ht="10.5" customHeight="1">
      <c r="C152" s="2330"/>
      <c r="E152" s="292"/>
      <c r="F152" s="292"/>
    </row>
    <row r="153" spans="2:30" ht="10.5" customHeight="1">
      <c r="C153" s="2330"/>
      <c r="D153" s="1356" t="s">
        <v>3995</v>
      </c>
      <c r="E153" s="646"/>
      <c r="F153" s="292"/>
    </row>
    <row r="154" spans="2:30" ht="39.75" customHeight="1">
      <c r="C154" s="509" t="s">
        <v>1290</v>
      </c>
      <c r="D154" s="395" t="s">
        <v>1044</v>
      </c>
      <c r="E154" s="292"/>
      <c r="F154" s="581" t="s">
        <v>1811</v>
      </c>
      <c r="G154" s="581" t="s">
        <v>1218</v>
      </c>
      <c r="H154" s="581" t="s">
        <v>1219</v>
      </c>
      <c r="I154" s="582" t="s">
        <v>1220</v>
      </c>
      <c r="J154" s="582" t="s">
        <v>1159</v>
      </c>
      <c r="K154" s="581" t="s">
        <v>427</v>
      </c>
      <c r="L154" s="583" t="s">
        <v>1166</v>
      </c>
      <c r="M154" s="583" t="s">
        <v>2784</v>
      </c>
      <c r="N154" s="583" t="s">
        <v>3925</v>
      </c>
      <c r="O154" s="583" t="s">
        <v>4353</v>
      </c>
      <c r="P154" s="581" t="s">
        <v>2417</v>
      </c>
      <c r="Q154" s="581"/>
      <c r="R154" s="177"/>
      <c r="S154" s="403"/>
      <c r="T154" s="584" t="s">
        <v>623</v>
      </c>
      <c r="U154" s="585" t="s">
        <v>624</v>
      </c>
      <c r="W154" s="617" t="s">
        <v>3409</v>
      </c>
      <c r="Z154" s="446"/>
      <c r="AA154" s="446"/>
      <c r="AB154" s="28"/>
      <c r="AC154" s="536"/>
      <c r="AD154" s="536"/>
    </row>
    <row r="155" spans="2:30" ht="10.5" customHeight="1">
      <c r="B155" s="292"/>
      <c r="C155" s="393" t="s">
        <v>1794</v>
      </c>
      <c r="D155" s="460">
        <v>47300</v>
      </c>
      <c r="E155" s="292"/>
      <c r="F155" s="292" t="s">
        <v>845</v>
      </c>
      <c r="G155" s="1079" t="s">
        <v>1221</v>
      </c>
      <c r="H155" s="1079" t="s">
        <v>1222</v>
      </c>
      <c r="I155" s="1080" t="s">
        <v>1223</v>
      </c>
      <c r="J155" s="1080" t="s">
        <v>2628</v>
      </c>
      <c r="K155" s="1081" t="s">
        <v>1167</v>
      </c>
      <c r="L155" s="1082" t="s">
        <v>425</v>
      </c>
      <c r="M155" s="2900" t="s">
        <v>2615</v>
      </c>
      <c r="N155" s="2900" t="s">
        <v>1337</v>
      </c>
      <c r="O155" s="2901" t="s">
        <v>4354</v>
      </c>
      <c r="P155" s="586" t="s">
        <v>1533</v>
      </c>
      <c r="Q155" s="301"/>
      <c r="R155" s="177"/>
      <c r="S155" s="403"/>
      <c r="T155" s="525" t="s">
        <v>2418</v>
      </c>
      <c r="U155" s="525" t="s">
        <v>1965</v>
      </c>
      <c r="W155" s="446" t="s">
        <v>2418</v>
      </c>
      <c r="X155" s="446" t="s">
        <v>3410</v>
      </c>
      <c r="Z155" s="446"/>
      <c r="AA155" s="28"/>
      <c r="AB155" s="28"/>
      <c r="AC155" s="997"/>
      <c r="AD155" s="536"/>
    </row>
    <row r="156" spans="2:30" ht="10.5" customHeight="1">
      <c r="B156" s="292"/>
      <c r="C156" s="393" t="s">
        <v>1223</v>
      </c>
      <c r="D156" s="460">
        <v>47900</v>
      </c>
      <c r="E156" s="292"/>
      <c r="F156" s="292" t="s">
        <v>846</v>
      </c>
      <c r="G156" s="1079" t="s">
        <v>1789</v>
      </c>
      <c r="H156" s="1079" t="s">
        <v>1222</v>
      </c>
      <c r="I156" s="1080" t="s">
        <v>1790</v>
      </c>
      <c r="J156" s="1080" t="s">
        <v>2628</v>
      </c>
      <c r="K156" s="1081" t="s">
        <v>1168</v>
      </c>
      <c r="L156" s="1082" t="s">
        <v>425</v>
      </c>
      <c r="M156" s="2900" t="s">
        <v>2615</v>
      </c>
      <c r="N156" s="2900" t="s">
        <v>1708</v>
      </c>
      <c r="O156" s="2901" t="s">
        <v>4355</v>
      </c>
      <c r="P156" s="586" t="s">
        <v>1535</v>
      </c>
      <c r="Q156" s="301"/>
      <c r="R156" s="177"/>
      <c r="S156" s="403"/>
      <c r="T156" s="525" t="s">
        <v>1534</v>
      </c>
      <c r="U156" s="525" t="s">
        <v>2501</v>
      </c>
      <c r="W156" s="446" t="s">
        <v>1534</v>
      </c>
      <c r="X156" s="446" t="s">
        <v>3410</v>
      </c>
      <c r="Z156" s="446"/>
      <c r="AA156" s="28"/>
      <c r="AB156" s="28"/>
      <c r="AC156" s="997"/>
      <c r="AD156" s="536"/>
    </row>
    <row r="157" spans="2:30" ht="10.5" customHeight="1">
      <c r="B157" s="292"/>
      <c r="C157" s="393" t="s">
        <v>1045</v>
      </c>
      <c r="D157" s="460">
        <v>61500</v>
      </c>
      <c r="E157" s="292"/>
      <c r="F157" s="292" t="s">
        <v>847</v>
      </c>
      <c r="G157" s="1079" t="s">
        <v>1791</v>
      </c>
      <c r="H157" s="1079" t="s">
        <v>1222</v>
      </c>
      <c r="I157" s="1080" t="s">
        <v>1792</v>
      </c>
      <c r="J157" s="1080" t="s">
        <v>2628</v>
      </c>
      <c r="K157" s="1081" t="s">
        <v>1169</v>
      </c>
      <c r="L157" s="1082" t="s">
        <v>425</v>
      </c>
      <c r="M157" s="2900" t="s">
        <v>2615</v>
      </c>
      <c r="N157" s="2900" t="s">
        <v>1708</v>
      </c>
      <c r="O157" s="2901" t="s">
        <v>4356</v>
      </c>
      <c r="P157" s="586" t="s">
        <v>466</v>
      </c>
      <c r="Q157" s="301"/>
      <c r="R157" s="177"/>
      <c r="S157" s="403"/>
      <c r="T157" s="525" t="s">
        <v>953</v>
      </c>
      <c r="U157" s="525" t="s">
        <v>1325</v>
      </c>
      <c r="W157" s="446" t="s">
        <v>953</v>
      </c>
      <c r="X157" s="446" t="s">
        <v>3410</v>
      </c>
      <c r="Z157" s="446"/>
      <c r="AA157" s="28"/>
      <c r="AB157" s="28"/>
      <c r="AC157" s="997"/>
      <c r="AD157" s="536"/>
    </row>
    <row r="158" spans="2:30" ht="10.5" customHeight="1">
      <c r="B158" s="292"/>
      <c r="C158" s="393" t="s">
        <v>1790</v>
      </c>
      <c r="D158" s="460">
        <v>38400</v>
      </c>
      <c r="E158" s="292"/>
      <c r="F158" s="292" t="s">
        <v>848</v>
      </c>
      <c r="G158" s="1079" t="s">
        <v>1793</v>
      </c>
      <c r="H158" s="1079" t="s">
        <v>1222</v>
      </c>
      <c r="I158" s="1083" t="s">
        <v>1794</v>
      </c>
      <c r="J158" s="1083" t="s">
        <v>2629</v>
      </c>
      <c r="K158" s="1081" t="s">
        <v>1170</v>
      </c>
      <c r="L158" s="1082" t="s">
        <v>426</v>
      </c>
      <c r="M158" s="2900" t="s">
        <v>1206</v>
      </c>
      <c r="N158" s="2900" t="s">
        <v>1794</v>
      </c>
      <c r="O158" s="2901" t="s">
        <v>4357</v>
      </c>
      <c r="P158" s="586" t="s">
        <v>2095</v>
      </c>
      <c r="Q158" s="301"/>
      <c r="R158" s="177"/>
      <c r="S158" s="403"/>
      <c r="T158" s="525" t="s">
        <v>467</v>
      </c>
      <c r="U158" s="525" t="s">
        <v>2545</v>
      </c>
      <c r="W158" s="446" t="s">
        <v>2096</v>
      </c>
      <c r="X158" s="446" t="s">
        <v>3410</v>
      </c>
      <c r="Z158" s="446"/>
      <c r="AA158" s="28"/>
      <c r="AB158" s="28"/>
      <c r="AC158" s="997"/>
      <c r="AD158" s="536"/>
    </row>
    <row r="159" spans="2:30" ht="10.5" customHeight="1">
      <c r="B159" s="292"/>
      <c r="C159" s="393" t="s">
        <v>771</v>
      </c>
      <c r="D159" s="460">
        <v>69700</v>
      </c>
      <c r="E159" s="292"/>
      <c r="F159" s="292" t="s">
        <v>849</v>
      </c>
      <c r="G159" s="1079" t="s">
        <v>1795</v>
      </c>
      <c r="H159" s="1079" t="s">
        <v>1322</v>
      </c>
      <c r="I159" s="1083" t="s">
        <v>157</v>
      </c>
      <c r="J159" s="1083" t="s">
        <v>2628</v>
      </c>
      <c r="K159" s="1081" t="s">
        <v>1171</v>
      </c>
      <c r="L159" s="1082" t="s">
        <v>425</v>
      </c>
      <c r="M159" s="2900" t="s">
        <v>2615</v>
      </c>
      <c r="N159" s="2900" t="s">
        <v>1331</v>
      </c>
      <c r="O159" s="2901" t="s">
        <v>4358</v>
      </c>
      <c r="P159" s="586" t="s">
        <v>2097</v>
      </c>
      <c r="Q159" s="301"/>
      <c r="R159" s="177"/>
      <c r="S159" s="403"/>
      <c r="T159" s="525" t="s">
        <v>2096</v>
      </c>
      <c r="U159" s="525" t="s">
        <v>334</v>
      </c>
      <c r="W159" s="446" t="s">
        <v>2100</v>
      </c>
      <c r="X159" s="446" t="s">
        <v>3410</v>
      </c>
      <c r="Z159" s="446"/>
      <c r="AA159" s="28"/>
      <c r="AB159" s="28"/>
      <c r="AC159" s="997"/>
      <c r="AD159" s="536"/>
    </row>
    <row r="160" spans="2:30" ht="10.5" customHeight="1">
      <c r="B160" s="292"/>
      <c r="C160" s="393" t="s">
        <v>772</v>
      </c>
      <c r="D160" s="460">
        <v>62000</v>
      </c>
      <c r="E160" s="292"/>
      <c r="F160" s="292" t="s">
        <v>850</v>
      </c>
      <c r="G160" s="1079" t="s">
        <v>1321</v>
      </c>
      <c r="H160" s="1079" t="s">
        <v>1322</v>
      </c>
      <c r="I160" s="1080" t="s">
        <v>1323</v>
      </c>
      <c r="J160" s="1080" t="s">
        <v>2628</v>
      </c>
      <c r="K160" s="1081" t="s">
        <v>1836</v>
      </c>
      <c r="L160" s="1082" t="s">
        <v>425</v>
      </c>
      <c r="M160" s="2900" t="s">
        <v>2615</v>
      </c>
      <c r="N160" s="2900" t="s">
        <v>167</v>
      </c>
      <c r="O160" s="2901" t="s">
        <v>4359</v>
      </c>
      <c r="P160" s="586" t="s">
        <v>2099</v>
      </c>
      <c r="Q160" s="301"/>
      <c r="R160" s="177"/>
      <c r="S160" s="403"/>
      <c r="T160" s="525" t="s">
        <v>2098</v>
      </c>
      <c r="U160" s="525" t="s">
        <v>185</v>
      </c>
      <c r="W160" s="446" t="s">
        <v>1794</v>
      </c>
      <c r="X160" s="446" t="s">
        <v>3410</v>
      </c>
      <c r="Z160" s="446"/>
      <c r="AA160" s="28"/>
      <c r="AB160" s="28"/>
      <c r="AC160" s="997"/>
      <c r="AD160" s="536"/>
    </row>
    <row r="161" spans="2:30" ht="10.5" customHeight="1">
      <c r="B161" s="292"/>
      <c r="C161" s="393" t="s">
        <v>1792</v>
      </c>
      <c r="D161" s="460">
        <v>50200</v>
      </c>
      <c r="E161" s="292"/>
      <c r="F161" s="292" t="s">
        <v>851</v>
      </c>
      <c r="G161" s="1079" t="s">
        <v>1324</v>
      </c>
      <c r="H161" s="1079" t="s">
        <v>1322</v>
      </c>
      <c r="I161" s="1083" t="s">
        <v>771</v>
      </c>
      <c r="J161" s="1083" t="s">
        <v>2629</v>
      </c>
      <c r="K161" s="1081" t="s">
        <v>2592</v>
      </c>
      <c r="L161" s="1082" t="s">
        <v>426</v>
      </c>
      <c r="M161" s="2900" t="s">
        <v>1206</v>
      </c>
      <c r="N161" s="2900" t="s">
        <v>1216</v>
      </c>
      <c r="O161" s="2901" t="s">
        <v>4360</v>
      </c>
      <c r="P161" s="586" t="s">
        <v>2101</v>
      </c>
      <c r="Q161" s="301"/>
      <c r="R161" s="177"/>
      <c r="S161" s="403"/>
      <c r="T161" s="525" t="s">
        <v>2100</v>
      </c>
      <c r="U161" s="525" t="s">
        <v>113</v>
      </c>
      <c r="W161" s="446" t="s">
        <v>448</v>
      </c>
      <c r="X161" s="446" t="s">
        <v>3410</v>
      </c>
      <c r="Z161" s="446"/>
      <c r="AA161" s="28"/>
      <c r="AB161" s="28"/>
      <c r="AC161" s="997"/>
      <c r="AD161" s="536"/>
    </row>
    <row r="162" spans="2:30" ht="10.5" customHeight="1">
      <c r="B162" s="292"/>
      <c r="C162" s="393" t="s">
        <v>157</v>
      </c>
      <c r="D162" s="460">
        <v>49200</v>
      </c>
      <c r="E162" s="292"/>
      <c r="F162" s="292" t="s">
        <v>852</v>
      </c>
      <c r="G162" s="1079" t="s">
        <v>1325</v>
      </c>
      <c r="H162" s="1079" t="s">
        <v>1322</v>
      </c>
      <c r="I162" s="1083" t="s">
        <v>771</v>
      </c>
      <c r="J162" s="1083" t="s">
        <v>2629</v>
      </c>
      <c r="K162" s="1081" t="s">
        <v>2592</v>
      </c>
      <c r="L162" s="1082" t="s">
        <v>426</v>
      </c>
      <c r="M162" s="2900" t="s">
        <v>1206</v>
      </c>
      <c r="N162" s="2900" t="s">
        <v>1216</v>
      </c>
      <c r="O162" s="2901" t="s">
        <v>4361</v>
      </c>
      <c r="P162" s="586" t="s">
        <v>2103</v>
      </c>
      <c r="Q162" s="301"/>
      <c r="R162" s="177"/>
      <c r="S162" s="403"/>
      <c r="T162" s="525" t="s">
        <v>2102</v>
      </c>
      <c r="U162" s="525" t="s">
        <v>1328</v>
      </c>
      <c r="W162" s="446" t="s">
        <v>450</v>
      </c>
      <c r="X162" s="446" t="s">
        <v>3410</v>
      </c>
      <c r="Z162" s="446"/>
      <c r="AA162" s="28"/>
      <c r="AB162" s="28"/>
      <c r="AC162" s="997"/>
      <c r="AD162" s="536"/>
    </row>
    <row r="163" spans="2:30" ht="10.5" customHeight="1">
      <c r="B163" s="292"/>
      <c r="C163" s="393" t="s">
        <v>1323</v>
      </c>
      <c r="D163" s="460">
        <v>54000</v>
      </c>
      <c r="E163" s="292"/>
      <c r="F163" s="292" t="s">
        <v>853</v>
      </c>
      <c r="G163" s="1079" t="s">
        <v>1326</v>
      </c>
      <c r="H163" s="1079" t="s">
        <v>1222</v>
      </c>
      <c r="I163" s="1080" t="s">
        <v>1327</v>
      </c>
      <c r="J163" s="1080" t="s">
        <v>2628</v>
      </c>
      <c r="K163" s="1081" t="s">
        <v>2593</v>
      </c>
      <c r="L163" s="1082" t="s">
        <v>425</v>
      </c>
      <c r="M163" s="2900" t="s">
        <v>2615</v>
      </c>
      <c r="N163" s="2900" t="s">
        <v>1794</v>
      </c>
      <c r="O163" s="2901" t="s">
        <v>4362</v>
      </c>
      <c r="P163" s="586" t="s">
        <v>1977</v>
      </c>
      <c r="Q163" s="546"/>
      <c r="R163" s="177"/>
      <c r="S163" s="403"/>
      <c r="T163" s="525" t="s">
        <v>1794</v>
      </c>
      <c r="U163" s="525" t="s">
        <v>963</v>
      </c>
      <c r="W163" s="446" t="s">
        <v>1861</v>
      </c>
      <c r="X163" s="446" t="s">
        <v>3410</v>
      </c>
      <c r="Z163" s="446"/>
      <c r="AA163" s="28"/>
      <c r="AB163" s="28"/>
      <c r="AC163" s="997"/>
      <c r="AD163" s="536"/>
    </row>
    <row r="164" spans="2:30" ht="10.5" customHeight="1">
      <c r="B164" s="292"/>
      <c r="C164" s="394" t="s">
        <v>1048</v>
      </c>
      <c r="D164" s="460">
        <v>37900</v>
      </c>
      <c r="E164" s="292"/>
      <c r="F164" s="292" t="s">
        <v>854</v>
      </c>
      <c r="G164" s="1079" t="s">
        <v>1328</v>
      </c>
      <c r="H164" s="1079" t="s">
        <v>1222</v>
      </c>
      <c r="I164" s="1080" t="s">
        <v>1329</v>
      </c>
      <c r="J164" s="1080" t="s">
        <v>2628</v>
      </c>
      <c r="K164" s="1081" t="s">
        <v>2594</v>
      </c>
      <c r="L164" s="1082" t="s">
        <v>425</v>
      </c>
      <c r="M164" s="2900" t="s">
        <v>2615</v>
      </c>
      <c r="N164" s="2900" t="s">
        <v>1708</v>
      </c>
      <c r="O164" s="2901" t="s">
        <v>4363</v>
      </c>
      <c r="P164" s="586" t="s">
        <v>181</v>
      </c>
      <c r="Q164" s="546"/>
      <c r="R164" s="292"/>
      <c r="S164" s="403"/>
      <c r="T164" s="525" t="s">
        <v>1978</v>
      </c>
      <c r="U164" s="525" t="s">
        <v>431</v>
      </c>
      <c r="W164" s="446" t="s">
        <v>2564</v>
      </c>
      <c r="X164" s="446" t="s">
        <v>3410</v>
      </c>
      <c r="Z164" s="446"/>
      <c r="AA164" s="28"/>
      <c r="AB164" s="28"/>
      <c r="AC164" s="997"/>
      <c r="AD164" s="536"/>
    </row>
    <row r="165" spans="2:30" ht="10.5" customHeight="1">
      <c r="B165" s="292"/>
      <c r="C165" s="394" t="s">
        <v>1329</v>
      </c>
      <c r="D165" s="460">
        <v>43500</v>
      </c>
      <c r="E165" s="292"/>
      <c r="F165" s="292" t="s">
        <v>855</v>
      </c>
      <c r="G165" s="1079" t="s">
        <v>1330</v>
      </c>
      <c r="H165" s="1079" t="s">
        <v>1322</v>
      </c>
      <c r="I165" s="1083" t="s">
        <v>1331</v>
      </c>
      <c r="J165" s="1083" t="s">
        <v>2629</v>
      </c>
      <c r="K165" s="1081" t="s">
        <v>2595</v>
      </c>
      <c r="L165" s="1082" t="s">
        <v>426</v>
      </c>
      <c r="M165" s="2900" t="s">
        <v>1206</v>
      </c>
      <c r="N165" s="2900" t="s">
        <v>1331</v>
      </c>
      <c r="O165" s="2901" t="s">
        <v>4364</v>
      </c>
      <c r="P165" s="586" t="s">
        <v>183</v>
      </c>
      <c r="Q165" s="546"/>
      <c r="R165" s="177"/>
      <c r="S165" s="403"/>
      <c r="T165" s="525" t="s">
        <v>182</v>
      </c>
      <c r="U165" s="525" t="s">
        <v>1467</v>
      </c>
      <c r="W165" s="446" t="s">
        <v>2570</v>
      </c>
      <c r="X165" s="446" t="s">
        <v>3410</v>
      </c>
      <c r="Z165" s="446"/>
      <c r="AA165" s="28"/>
      <c r="AB165" s="28"/>
      <c r="AC165" s="997"/>
      <c r="AD165" s="536"/>
    </row>
    <row r="166" spans="2:30" ht="10.5" customHeight="1">
      <c r="B166" s="292"/>
      <c r="C166" s="394" t="s">
        <v>1333</v>
      </c>
      <c r="D166" s="460">
        <v>48400</v>
      </c>
      <c r="E166" s="292"/>
      <c r="F166" s="292" t="s">
        <v>856</v>
      </c>
      <c r="G166" s="1079" t="s">
        <v>1332</v>
      </c>
      <c r="H166" s="1079" t="s">
        <v>1322</v>
      </c>
      <c r="I166" s="1083" t="s">
        <v>1333</v>
      </c>
      <c r="J166" s="1083" t="s">
        <v>2628</v>
      </c>
      <c r="K166" s="1081" t="s">
        <v>2596</v>
      </c>
      <c r="L166" s="1082" t="s">
        <v>425</v>
      </c>
      <c r="M166" s="2900" t="s">
        <v>2615</v>
      </c>
      <c r="N166" s="2900" t="s">
        <v>1331</v>
      </c>
      <c r="O166" s="2901" t="s">
        <v>4365</v>
      </c>
      <c r="P166" s="586" t="s">
        <v>447</v>
      </c>
      <c r="Q166" s="301"/>
      <c r="R166" s="177"/>
      <c r="S166" s="403"/>
      <c r="T166" s="525" t="s">
        <v>184</v>
      </c>
      <c r="U166" s="525" t="s">
        <v>2414</v>
      </c>
      <c r="W166" s="446" t="s">
        <v>2575</v>
      </c>
      <c r="X166" s="446" t="s">
        <v>3410</v>
      </c>
      <c r="Z166" s="446"/>
      <c r="AA166" s="28"/>
      <c r="AB166" s="28"/>
      <c r="AC166" s="997"/>
      <c r="AD166" s="536"/>
    </row>
    <row r="167" spans="2:30" ht="10.5" customHeight="1">
      <c r="B167" s="292"/>
      <c r="C167" s="393" t="s">
        <v>11</v>
      </c>
      <c r="D167" s="460">
        <v>54900</v>
      </c>
      <c r="E167" s="292"/>
      <c r="F167" s="292" t="s">
        <v>857</v>
      </c>
      <c r="G167" s="1079" t="s">
        <v>1334</v>
      </c>
      <c r="H167" s="1079" t="s">
        <v>1222</v>
      </c>
      <c r="I167" s="1080" t="s">
        <v>11</v>
      </c>
      <c r="J167" s="1080" t="s">
        <v>2629</v>
      </c>
      <c r="K167" s="1081" t="s">
        <v>2597</v>
      </c>
      <c r="L167" s="1082" t="s">
        <v>426</v>
      </c>
      <c r="M167" s="2900" t="s">
        <v>1206</v>
      </c>
      <c r="N167" s="2900" t="s">
        <v>1708</v>
      </c>
      <c r="O167" s="2901" t="s">
        <v>4366</v>
      </c>
      <c r="P167" s="586" t="s">
        <v>449</v>
      </c>
      <c r="Q167" s="301"/>
      <c r="R167" s="177"/>
      <c r="S167" s="403"/>
      <c r="T167" s="525" t="s">
        <v>448</v>
      </c>
      <c r="U167" s="525" t="s">
        <v>1791</v>
      </c>
      <c r="W167" s="446" t="s">
        <v>167</v>
      </c>
      <c r="X167" s="446" t="s">
        <v>3410</v>
      </c>
      <c r="Z167" s="446"/>
      <c r="AA167" s="28"/>
      <c r="AB167" s="28"/>
      <c r="AC167" s="997"/>
      <c r="AD167" s="536"/>
    </row>
    <row r="168" spans="2:30" ht="10.5" customHeight="1">
      <c r="B168" s="292"/>
      <c r="C168" s="394" t="s">
        <v>1339</v>
      </c>
      <c r="D168" s="460">
        <v>50000</v>
      </c>
      <c r="E168" s="292"/>
      <c r="F168" s="292" t="s">
        <v>858</v>
      </c>
      <c r="G168" s="1079" t="s">
        <v>1335</v>
      </c>
      <c r="H168" s="1079" t="s">
        <v>1222</v>
      </c>
      <c r="I168" s="1080" t="s">
        <v>1708</v>
      </c>
      <c r="J168" s="1080" t="s">
        <v>2629</v>
      </c>
      <c r="K168" s="1081" t="s">
        <v>2598</v>
      </c>
      <c r="L168" s="1082" t="s">
        <v>426</v>
      </c>
      <c r="M168" s="2900" t="s">
        <v>1206</v>
      </c>
      <c r="N168" s="2900" t="s">
        <v>1708</v>
      </c>
      <c r="O168" s="2901" t="s">
        <v>4367</v>
      </c>
      <c r="P168" s="586" t="s">
        <v>451</v>
      </c>
      <c r="Q168" s="301"/>
      <c r="R168" s="177"/>
      <c r="S168" s="403"/>
      <c r="T168" s="525" t="s">
        <v>450</v>
      </c>
      <c r="U168" s="525" t="s">
        <v>1217</v>
      </c>
      <c r="W168" s="446" t="s">
        <v>1216</v>
      </c>
      <c r="X168" s="446" t="s">
        <v>3410</v>
      </c>
      <c r="Z168" s="446"/>
      <c r="AA168" s="28"/>
      <c r="AB168" s="28"/>
      <c r="AC168" s="997"/>
      <c r="AD168" s="536"/>
    </row>
    <row r="169" spans="2:30" ht="10.5" customHeight="1">
      <c r="B169" s="292"/>
      <c r="C169" s="393" t="s">
        <v>1046</v>
      </c>
      <c r="D169" s="460">
        <v>62100</v>
      </c>
      <c r="E169" s="292"/>
      <c r="F169" s="292" t="s">
        <v>859</v>
      </c>
      <c r="G169" s="1079" t="s">
        <v>1336</v>
      </c>
      <c r="H169" s="1079" t="s">
        <v>1222</v>
      </c>
      <c r="I169" s="1083" t="s">
        <v>1337</v>
      </c>
      <c r="J169" s="1083" t="s">
        <v>2629</v>
      </c>
      <c r="K169" s="1081" t="s">
        <v>1474</v>
      </c>
      <c r="L169" s="1082" t="s">
        <v>426</v>
      </c>
      <c r="M169" s="2900" t="s">
        <v>1206</v>
      </c>
      <c r="N169" s="2900" t="s">
        <v>1337</v>
      </c>
      <c r="O169" s="2901" t="s">
        <v>4368</v>
      </c>
      <c r="P169" s="586" t="s">
        <v>453</v>
      </c>
      <c r="Q169" s="301"/>
      <c r="R169" s="177"/>
      <c r="S169" s="403"/>
      <c r="T169" s="525" t="s">
        <v>452</v>
      </c>
      <c r="U169" s="525" t="s">
        <v>185</v>
      </c>
      <c r="W169" s="446" t="s">
        <v>2086</v>
      </c>
      <c r="X169" s="446" t="s">
        <v>3410</v>
      </c>
      <c r="Z169" s="446"/>
      <c r="AA169" s="28"/>
      <c r="AB169" s="28"/>
      <c r="AC169" s="997"/>
      <c r="AD169" s="536"/>
    </row>
    <row r="170" spans="2:30" ht="10.5" customHeight="1">
      <c r="B170" s="292"/>
      <c r="C170" s="394" t="s">
        <v>1344</v>
      </c>
      <c r="D170" s="460">
        <v>34400</v>
      </c>
      <c r="E170" s="292"/>
      <c r="F170" s="292" t="s">
        <v>860</v>
      </c>
      <c r="G170" s="1079" t="s">
        <v>1338</v>
      </c>
      <c r="H170" s="1079" t="s">
        <v>1222</v>
      </c>
      <c r="I170" s="1083" t="s">
        <v>1339</v>
      </c>
      <c r="J170" s="1083" t="s">
        <v>2628</v>
      </c>
      <c r="K170" s="1081" t="s">
        <v>2613</v>
      </c>
      <c r="L170" s="1082" t="s">
        <v>425</v>
      </c>
      <c r="M170" s="2900" t="s">
        <v>2615</v>
      </c>
      <c r="N170" s="2900" t="s">
        <v>1337</v>
      </c>
      <c r="O170" s="2901" t="s">
        <v>4369</v>
      </c>
      <c r="P170" s="586" t="s">
        <v>2277</v>
      </c>
      <c r="Q170" s="301"/>
      <c r="R170" s="177"/>
      <c r="S170" s="403"/>
      <c r="T170" s="525" t="s">
        <v>454</v>
      </c>
      <c r="U170" s="525" t="s">
        <v>123</v>
      </c>
      <c r="W170" s="446" t="s">
        <v>1341</v>
      </c>
      <c r="X170" s="446" t="s">
        <v>3410</v>
      </c>
      <c r="Z170" s="446"/>
      <c r="AA170" s="28"/>
      <c r="AB170" s="28"/>
      <c r="AC170" s="997"/>
      <c r="AD170" s="536"/>
    </row>
    <row r="171" spans="2:30" ht="10.5" customHeight="1">
      <c r="B171" s="292"/>
      <c r="C171" s="394" t="s">
        <v>737</v>
      </c>
      <c r="D171" s="460">
        <v>62100</v>
      </c>
      <c r="E171" s="292"/>
      <c r="F171" s="292" t="s">
        <v>861</v>
      </c>
      <c r="G171" s="1079" t="s">
        <v>1340</v>
      </c>
      <c r="H171" s="1079" t="s">
        <v>1222</v>
      </c>
      <c r="I171" s="1083" t="s">
        <v>772</v>
      </c>
      <c r="J171" s="1083" t="s">
        <v>2629</v>
      </c>
      <c r="K171" s="1081" t="s">
        <v>2614</v>
      </c>
      <c r="L171" s="1082" t="s">
        <v>426</v>
      </c>
      <c r="M171" s="2900" t="s">
        <v>2615</v>
      </c>
      <c r="N171" s="2900" t="s">
        <v>1341</v>
      </c>
      <c r="O171" s="2901" t="s">
        <v>4370</v>
      </c>
      <c r="P171" s="586" t="s">
        <v>2279</v>
      </c>
      <c r="Q171" s="301"/>
      <c r="R171" s="177"/>
      <c r="S171" s="403"/>
      <c r="T171" s="525" t="s">
        <v>2278</v>
      </c>
      <c r="U171" s="525" t="s">
        <v>2502</v>
      </c>
      <c r="W171" s="446" t="s">
        <v>2089</v>
      </c>
      <c r="X171" s="446" t="s">
        <v>3410</v>
      </c>
      <c r="Z171" s="446"/>
      <c r="AA171" s="28"/>
      <c r="AB171" s="28"/>
      <c r="AC171" s="997"/>
      <c r="AD171" s="536"/>
    </row>
    <row r="172" spans="2:30" ht="10.5" customHeight="1">
      <c r="B172" s="292"/>
      <c r="C172" s="394" t="s">
        <v>739</v>
      </c>
      <c r="D172" s="460">
        <v>39800</v>
      </c>
      <c r="E172" s="292"/>
      <c r="F172" s="292" t="s">
        <v>862</v>
      </c>
      <c r="G172" s="1079" t="s">
        <v>1342</v>
      </c>
      <c r="H172" s="1079" t="s">
        <v>1322</v>
      </c>
      <c r="I172" s="1083" t="s">
        <v>1046</v>
      </c>
      <c r="J172" s="1083" t="s">
        <v>2629</v>
      </c>
      <c r="K172" s="1081" t="s">
        <v>1268</v>
      </c>
      <c r="L172" s="1082" t="s">
        <v>426</v>
      </c>
      <c r="M172" s="2900" t="s">
        <v>2615</v>
      </c>
      <c r="N172" s="2900" t="s">
        <v>1216</v>
      </c>
      <c r="O172" s="2901" t="s">
        <v>4371</v>
      </c>
      <c r="P172" s="586" t="s">
        <v>370</v>
      </c>
      <c r="Q172" s="301"/>
      <c r="R172" s="177"/>
      <c r="S172" s="403"/>
      <c r="T172" s="525" t="s">
        <v>1861</v>
      </c>
      <c r="U172" s="525" t="s">
        <v>2192</v>
      </c>
      <c r="W172" s="446" t="s">
        <v>2122</v>
      </c>
      <c r="X172" s="446" t="s">
        <v>3410</v>
      </c>
      <c r="Z172" s="446"/>
      <c r="AA172" s="28"/>
      <c r="AB172" s="28"/>
      <c r="AC172" s="997"/>
      <c r="AD172" s="536"/>
    </row>
    <row r="173" spans="2:30" ht="10.5" customHeight="1">
      <c r="B173" s="292"/>
      <c r="C173" s="393" t="s">
        <v>159</v>
      </c>
      <c r="D173" s="460">
        <v>54800</v>
      </c>
      <c r="E173" s="292"/>
      <c r="F173" s="292" t="s">
        <v>863</v>
      </c>
      <c r="G173" s="1079" t="s">
        <v>1343</v>
      </c>
      <c r="H173" s="1079" t="s">
        <v>1222</v>
      </c>
      <c r="I173" s="1080" t="s">
        <v>1344</v>
      </c>
      <c r="J173" s="1080" t="s">
        <v>2628</v>
      </c>
      <c r="K173" s="1081" t="s">
        <v>1269</v>
      </c>
      <c r="L173" s="1082" t="s">
        <v>425</v>
      </c>
      <c r="M173" s="2900" t="s">
        <v>2615</v>
      </c>
      <c r="N173" s="2900" t="s">
        <v>1794</v>
      </c>
      <c r="O173" s="2901" t="s">
        <v>4372</v>
      </c>
      <c r="P173" s="586" t="s">
        <v>372</v>
      </c>
      <c r="Q173" s="301"/>
      <c r="R173" s="177"/>
      <c r="S173" s="403"/>
      <c r="T173" s="525" t="s">
        <v>371</v>
      </c>
      <c r="U173" s="525" t="s">
        <v>2192</v>
      </c>
      <c r="W173" s="446" t="s">
        <v>2126</v>
      </c>
      <c r="X173" s="446" t="s">
        <v>3410</v>
      </c>
      <c r="Z173" s="446"/>
      <c r="AA173" s="28"/>
      <c r="AB173" s="28"/>
      <c r="AC173" s="997"/>
      <c r="AD173" s="536"/>
    </row>
    <row r="174" spans="2:30" ht="10.5" customHeight="1">
      <c r="B174" s="292"/>
      <c r="C174" s="393" t="s">
        <v>1532</v>
      </c>
      <c r="D174" s="460">
        <v>59500</v>
      </c>
      <c r="E174" s="292"/>
      <c r="F174" s="292" t="s">
        <v>864</v>
      </c>
      <c r="G174" s="1079" t="s">
        <v>1345</v>
      </c>
      <c r="H174" s="1079" t="s">
        <v>1222</v>
      </c>
      <c r="I174" s="1083" t="s">
        <v>737</v>
      </c>
      <c r="J174" s="1083" t="s">
        <v>2628</v>
      </c>
      <c r="K174" s="1081" t="s">
        <v>1270</v>
      </c>
      <c r="L174" s="1082" t="s">
        <v>425</v>
      </c>
      <c r="M174" s="2900" t="s">
        <v>2615</v>
      </c>
      <c r="N174" s="2900" t="s">
        <v>1708</v>
      </c>
      <c r="O174" s="2901" t="s">
        <v>4373</v>
      </c>
      <c r="P174" s="586" t="s">
        <v>2561</v>
      </c>
      <c r="Q174" s="301"/>
      <c r="R174" s="177"/>
      <c r="S174" s="403"/>
      <c r="T174" s="525" t="s">
        <v>1221</v>
      </c>
      <c r="U174" s="525" t="s">
        <v>2544</v>
      </c>
      <c r="W174" s="446" t="s">
        <v>1795</v>
      </c>
      <c r="X174" s="446" t="s">
        <v>3410</v>
      </c>
      <c r="Z174" s="446"/>
      <c r="AA174" s="28"/>
      <c r="AB174" s="28"/>
      <c r="AC174" s="997"/>
      <c r="AD174" s="536"/>
    </row>
    <row r="175" spans="2:30" ht="10.5" customHeight="1">
      <c r="B175" s="292"/>
      <c r="C175" s="393" t="s">
        <v>164</v>
      </c>
      <c r="D175" s="460">
        <v>41500</v>
      </c>
      <c r="E175" s="292"/>
      <c r="F175" s="292" t="s">
        <v>865</v>
      </c>
      <c r="G175" s="1079" t="s">
        <v>738</v>
      </c>
      <c r="H175" s="1079" t="s">
        <v>1222</v>
      </c>
      <c r="I175" s="1080" t="s">
        <v>739</v>
      </c>
      <c r="J175" s="1080" t="s">
        <v>2628</v>
      </c>
      <c r="K175" s="1081" t="s">
        <v>1723</v>
      </c>
      <c r="L175" s="1082" t="s">
        <v>425</v>
      </c>
      <c r="M175" s="2900" t="s">
        <v>2615</v>
      </c>
      <c r="N175" s="2900" t="s">
        <v>1337</v>
      </c>
      <c r="O175" s="2901" t="s">
        <v>4374</v>
      </c>
      <c r="P175" s="586" t="s">
        <v>2563</v>
      </c>
      <c r="Q175" s="301"/>
      <c r="R175" s="177"/>
      <c r="S175" s="403"/>
      <c r="T175" s="525" t="s">
        <v>2562</v>
      </c>
      <c r="U175" s="525" t="s">
        <v>2549</v>
      </c>
      <c r="W175" s="446" t="s">
        <v>1015</v>
      </c>
      <c r="X175" s="446" t="s">
        <v>3410</v>
      </c>
      <c r="Z175" s="446"/>
      <c r="AA175" s="28"/>
      <c r="AB175" s="28"/>
      <c r="AC175" s="997"/>
      <c r="AD175" s="536"/>
    </row>
    <row r="176" spans="2:30" ht="10.5" customHeight="1">
      <c r="B176" s="292"/>
      <c r="C176" s="393" t="s">
        <v>2497</v>
      </c>
      <c r="D176" s="460">
        <v>30400</v>
      </c>
      <c r="E176" s="292"/>
      <c r="F176" s="292" t="s">
        <v>866</v>
      </c>
      <c r="G176" s="1079" t="s">
        <v>740</v>
      </c>
      <c r="H176" s="1079" t="s">
        <v>1322</v>
      </c>
      <c r="I176" s="1083" t="s">
        <v>771</v>
      </c>
      <c r="J176" s="1083" t="s">
        <v>2629</v>
      </c>
      <c r="K176" s="1081" t="s">
        <v>2592</v>
      </c>
      <c r="L176" s="1082" t="s">
        <v>426</v>
      </c>
      <c r="M176" s="2900" t="s">
        <v>1206</v>
      </c>
      <c r="N176" s="2900" t="s">
        <v>1216</v>
      </c>
      <c r="O176" s="2901" t="s">
        <v>4375</v>
      </c>
      <c r="P176" s="586" t="s">
        <v>2565</v>
      </c>
      <c r="Q176" s="301"/>
      <c r="R176" s="177"/>
      <c r="S176" s="403"/>
      <c r="T176" s="525" t="s">
        <v>2564</v>
      </c>
      <c r="U176" s="525" t="s">
        <v>1106</v>
      </c>
      <c r="W176" s="446" t="s">
        <v>2460</v>
      </c>
      <c r="X176" s="446" t="s">
        <v>3410</v>
      </c>
      <c r="Z176" s="446"/>
      <c r="AA176" s="28"/>
      <c r="AB176" s="28"/>
      <c r="AC176" s="997"/>
      <c r="AD176" s="536"/>
    </row>
    <row r="177" spans="2:30" ht="10.5" customHeight="1">
      <c r="B177" s="292"/>
      <c r="C177" s="394" t="s">
        <v>2500</v>
      </c>
      <c r="D177" s="460">
        <v>43800</v>
      </c>
      <c r="E177" s="292"/>
      <c r="F177" s="292" t="s">
        <v>867</v>
      </c>
      <c r="G177" s="1079" t="s">
        <v>1531</v>
      </c>
      <c r="H177" s="1079" t="s">
        <v>1322</v>
      </c>
      <c r="I177" s="1083" t="s">
        <v>1532</v>
      </c>
      <c r="J177" s="1083" t="s">
        <v>2629</v>
      </c>
      <c r="K177" s="1081" t="s">
        <v>1692</v>
      </c>
      <c r="L177" s="1082" t="s">
        <v>426</v>
      </c>
      <c r="M177" s="2900" t="s">
        <v>2615</v>
      </c>
      <c r="N177" s="2900" t="s">
        <v>1532</v>
      </c>
      <c r="O177" s="2901" t="s">
        <v>4376</v>
      </c>
      <c r="P177" s="586" t="s">
        <v>2567</v>
      </c>
      <c r="Q177" s="301"/>
      <c r="R177" s="177"/>
      <c r="S177" s="403"/>
      <c r="T177" s="525" t="s">
        <v>2566</v>
      </c>
      <c r="U177" s="525" t="s">
        <v>325</v>
      </c>
      <c r="W177" s="446" t="s">
        <v>2462</v>
      </c>
      <c r="X177" s="446" t="s">
        <v>3410</v>
      </c>
      <c r="Z177" s="446"/>
      <c r="AA177" s="28"/>
      <c r="AB177" s="28"/>
      <c r="AC177" s="997"/>
      <c r="AD177" s="536"/>
    </row>
    <row r="178" spans="2:30" ht="10.5" customHeight="1">
      <c r="B178" s="292"/>
      <c r="C178" s="394" t="s">
        <v>2503</v>
      </c>
      <c r="D178" s="460">
        <v>43400</v>
      </c>
      <c r="E178" s="292"/>
      <c r="F178" s="292" t="s">
        <v>868</v>
      </c>
      <c r="G178" s="1079" t="s">
        <v>158</v>
      </c>
      <c r="H178" s="1079" t="s">
        <v>1222</v>
      </c>
      <c r="I178" s="1080" t="s">
        <v>159</v>
      </c>
      <c r="J178" s="1080" t="s">
        <v>2628</v>
      </c>
      <c r="K178" s="1081" t="s">
        <v>1693</v>
      </c>
      <c r="L178" s="1082" t="s">
        <v>425</v>
      </c>
      <c r="M178" s="2900" t="s">
        <v>2615</v>
      </c>
      <c r="N178" s="2900" t="s">
        <v>1708</v>
      </c>
      <c r="O178" s="2901" t="s">
        <v>4377</v>
      </c>
      <c r="P178" s="586" t="s">
        <v>2569</v>
      </c>
      <c r="Q178" s="301"/>
      <c r="R178" s="177"/>
      <c r="S178" s="403"/>
      <c r="T178" s="525" t="s">
        <v>2568</v>
      </c>
      <c r="U178" s="525" t="s">
        <v>2499</v>
      </c>
      <c r="W178" s="446" t="s">
        <v>2464</v>
      </c>
      <c r="X178" s="446" t="s">
        <v>3410</v>
      </c>
      <c r="Z178" s="446"/>
      <c r="AA178" s="28"/>
      <c r="AB178" s="28"/>
      <c r="AC178" s="997"/>
      <c r="AD178" s="536"/>
    </row>
    <row r="179" spans="2:30" ht="10.5" customHeight="1">
      <c r="B179" s="292"/>
      <c r="C179" s="394" t="s">
        <v>2543</v>
      </c>
      <c r="D179" s="460">
        <v>39400</v>
      </c>
      <c r="E179" s="292"/>
      <c r="F179" s="292" t="s">
        <v>869</v>
      </c>
      <c r="G179" s="1079" t="s">
        <v>160</v>
      </c>
      <c r="H179" s="1079" t="s">
        <v>1222</v>
      </c>
      <c r="I179" s="1083" t="s">
        <v>1337</v>
      </c>
      <c r="J179" s="1083" t="s">
        <v>2629</v>
      </c>
      <c r="K179" s="1081" t="s">
        <v>1474</v>
      </c>
      <c r="L179" s="1082" t="s">
        <v>426</v>
      </c>
      <c r="M179" s="2900" t="s">
        <v>1206</v>
      </c>
      <c r="N179" s="2900" t="s">
        <v>1337</v>
      </c>
      <c r="O179" s="2901" t="s">
        <v>4378</v>
      </c>
      <c r="P179" s="586" t="s">
        <v>2571</v>
      </c>
      <c r="Q179" s="301"/>
      <c r="R179" s="177"/>
      <c r="S179" s="403"/>
      <c r="T179" s="525" t="s">
        <v>2570</v>
      </c>
      <c r="U179" s="525" t="s">
        <v>1343</v>
      </c>
      <c r="W179" s="446" t="s">
        <v>2467</v>
      </c>
      <c r="X179" s="446" t="s">
        <v>3410</v>
      </c>
      <c r="Z179" s="446"/>
      <c r="AA179" s="28"/>
      <c r="AB179" s="28"/>
      <c r="AC179" s="997"/>
      <c r="AD179" s="536"/>
    </row>
    <row r="180" spans="2:30" ht="10.5" customHeight="1">
      <c r="B180" s="292"/>
      <c r="C180" s="393" t="s">
        <v>162</v>
      </c>
      <c r="D180" s="460">
        <v>53400</v>
      </c>
      <c r="E180" s="292"/>
      <c r="F180" s="292" t="s">
        <v>1352</v>
      </c>
      <c r="G180" s="1079" t="s">
        <v>161</v>
      </c>
      <c r="H180" s="1079" t="s">
        <v>1322</v>
      </c>
      <c r="I180" s="1083" t="s">
        <v>162</v>
      </c>
      <c r="J180" s="1083" t="s">
        <v>2629</v>
      </c>
      <c r="K180" s="1081" t="s">
        <v>1694</v>
      </c>
      <c r="L180" s="1082" t="s">
        <v>426</v>
      </c>
      <c r="M180" s="2900" t="s">
        <v>2615</v>
      </c>
      <c r="N180" s="2900" t="s">
        <v>162</v>
      </c>
      <c r="O180" s="2901" t="s">
        <v>4379</v>
      </c>
      <c r="P180" s="586" t="s">
        <v>2572</v>
      </c>
      <c r="Q180" s="301"/>
      <c r="R180" s="177"/>
      <c r="S180" s="403"/>
      <c r="T180" s="525" t="s">
        <v>2573</v>
      </c>
      <c r="U180" s="525" t="s">
        <v>2607</v>
      </c>
      <c r="W180" s="446" t="s">
        <v>2246</v>
      </c>
      <c r="X180" s="446" t="s">
        <v>3410</v>
      </c>
      <c r="Z180" s="446"/>
      <c r="AA180" s="28"/>
      <c r="AB180" s="28"/>
      <c r="AC180" s="997"/>
      <c r="AD180" s="536"/>
    </row>
    <row r="181" spans="2:30" ht="10.5" customHeight="1">
      <c r="B181" s="292"/>
      <c r="C181" s="394" t="s">
        <v>2546</v>
      </c>
      <c r="D181" s="460">
        <v>43800</v>
      </c>
      <c r="E181" s="292"/>
      <c r="F181" s="292" t="s">
        <v>1353</v>
      </c>
      <c r="G181" s="1079" t="s">
        <v>163</v>
      </c>
      <c r="H181" s="1079" t="s">
        <v>1322</v>
      </c>
      <c r="I181" s="1080" t="s">
        <v>164</v>
      </c>
      <c r="J181" s="1080" t="s">
        <v>2628</v>
      </c>
      <c r="K181" s="1081" t="s">
        <v>1695</v>
      </c>
      <c r="L181" s="1082" t="s">
        <v>425</v>
      </c>
      <c r="M181" s="2900" t="s">
        <v>2615</v>
      </c>
      <c r="N181" s="2900" t="s">
        <v>1532</v>
      </c>
      <c r="O181" s="2901" t="s">
        <v>4380</v>
      </c>
      <c r="P181" s="586" t="s">
        <v>2574</v>
      </c>
      <c r="Q181" s="301"/>
      <c r="R181" s="177"/>
      <c r="S181" s="403"/>
      <c r="T181" s="525" t="s">
        <v>2575</v>
      </c>
      <c r="U181" s="525" t="s">
        <v>1931</v>
      </c>
      <c r="W181" s="446" t="s">
        <v>2346</v>
      </c>
      <c r="X181" s="446" t="s">
        <v>3410</v>
      </c>
      <c r="Z181" s="446"/>
      <c r="AA181" s="28"/>
      <c r="AB181" s="28"/>
      <c r="AC181" s="997"/>
      <c r="AD181" s="536"/>
    </row>
    <row r="182" spans="2:30" ht="10.5" customHeight="1">
      <c r="B182" s="292"/>
      <c r="C182" s="394" t="s">
        <v>195</v>
      </c>
      <c r="D182" s="460">
        <v>44700</v>
      </c>
      <c r="E182" s="292"/>
      <c r="F182" s="292" t="s">
        <v>1354</v>
      </c>
      <c r="G182" s="1079" t="s">
        <v>165</v>
      </c>
      <c r="H182" s="1079" t="s">
        <v>1322</v>
      </c>
      <c r="I182" s="1083" t="s">
        <v>771</v>
      </c>
      <c r="J182" s="1083" t="s">
        <v>2629</v>
      </c>
      <c r="K182" s="1081" t="s">
        <v>2592</v>
      </c>
      <c r="L182" s="1082" t="s">
        <v>426</v>
      </c>
      <c r="M182" s="2900" t="s">
        <v>1206</v>
      </c>
      <c r="N182" s="2900" t="s">
        <v>1216</v>
      </c>
      <c r="O182" s="2901" t="s">
        <v>4381</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1355</v>
      </c>
      <c r="G183" s="1079" t="s">
        <v>166</v>
      </c>
      <c r="H183" s="1079" t="s">
        <v>1322</v>
      </c>
      <c r="I183" s="1080" t="s">
        <v>2058</v>
      </c>
      <c r="J183" s="1080" t="s">
        <v>2629</v>
      </c>
      <c r="K183" s="1081" t="s">
        <v>625</v>
      </c>
      <c r="L183" s="1082" t="s">
        <v>426</v>
      </c>
      <c r="M183" s="2902" t="s">
        <v>1206</v>
      </c>
      <c r="N183" s="2902" t="s">
        <v>167</v>
      </c>
      <c r="O183" s="2901" t="s">
        <v>4382</v>
      </c>
      <c r="P183" s="586" t="s">
        <v>420</v>
      </c>
      <c r="Q183" s="301"/>
      <c r="R183" s="292"/>
      <c r="S183" s="403"/>
      <c r="T183" s="525" t="s">
        <v>1216</v>
      </c>
      <c r="U183" s="525" t="s">
        <v>1217</v>
      </c>
      <c r="W183" s="446" t="s">
        <v>11</v>
      </c>
      <c r="X183" s="446" t="s">
        <v>3410</v>
      </c>
      <c r="Z183" s="446"/>
      <c r="AA183" s="28"/>
      <c r="AB183" s="28"/>
      <c r="AC183" s="997"/>
      <c r="AD183" s="536"/>
    </row>
    <row r="184" spans="2:30" ht="10.5" customHeight="1">
      <c r="B184" s="292"/>
      <c r="C184" s="393" t="s">
        <v>199</v>
      </c>
      <c r="D184" s="460">
        <v>44300</v>
      </c>
      <c r="E184" s="292"/>
      <c r="F184" s="292" t="s">
        <v>1356</v>
      </c>
      <c r="G184" s="1079" t="s">
        <v>2496</v>
      </c>
      <c r="H184" s="1079" t="s">
        <v>1222</v>
      </c>
      <c r="I184" s="1080" t="s">
        <v>2497</v>
      </c>
      <c r="J184" s="1080" t="s">
        <v>2628</v>
      </c>
      <c r="K184" s="1081" t="s">
        <v>626</v>
      </c>
      <c r="L184" s="1082" t="s">
        <v>425</v>
      </c>
      <c r="M184" s="2902" t="s">
        <v>2615</v>
      </c>
      <c r="N184" s="2902" t="s">
        <v>1794</v>
      </c>
      <c r="O184" s="2901" t="s">
        <v>4383</v>
      </c>
      <c r="P184" s="586" t="s">
        <v>785</v>
      </c>
      <c r="Q184" s="546"/>
      <c r="R184" s="177"/>
      <c r="S184" s="403"/>
      <c r="T184" s="525" t="s">
        <v>786</v>
      </c>
      <c r="U184" s="525" t="s">
        <v>198</v>
      </c>
      <c r="W184" s="446" t="s">
        <v>13</v>
      </c>
      <c r="X184" s="446" t="s">
        <v>3410</v>
      </c>
      <c r="Z184" s="446"/>
      <c r="AA184" s="28"/>
      <c r="AB184" s="28"/>
      <c r="AC184" s="997"/>
      <c r="AD184" s="536"/>
    </row>
    <row r="185" spans="2:30" ht="10.5" customHeight="1">
      <c r="B185" s="292"/>
      <c r="C185" s="393" t="s">
        <v>960</v>
      </c>
      <c r="D185" s="460">
        <v>49300</v>
      </c>
      <c r="E185" s="292"/>
      <c r="F185" s="292" t="s">
        <v>1357</v>
      </c>
      <c r="G185" s="1079" t="s">
        <v>2498</v>
      </c>
      <c r="H185" s="1079" t="s">
        <v>1322</v>
      </c>
      <c r="I185" s="1083" t="s">
        <v>771</v>
      </c>
      <c r="J185" s="1083" t="s">
        <v>2629</v>
      </c>
      <c r="K185" s="1081" t="s">
        <v>2592</v>
      </c>
      <c r="L185" s="1082" t="s">
        <v>426</v>
      </c>
      <c r="M185" s="2900" t="s">
        <v>1206</v>
      </c>
      <c r="N185" s="2900" t="s">
        <v>1216</v>
      </c>
      <c r="O185" s="2901" t="s">
        <v>4384</v>
      </c>
      <c r="P185" s="586" t="s">
        <v>787</v>
      </c>
      <c r="Q185" s="546"/>
      <c r="R185" s="177"/>
      <c r="S185" s="403"/>
      <c r="T185" s="525" t="s">
        <v>2086</v>
      </c>
      <c r="U185" s="525" t="s">
        <v>1324</v>
      </c>
      <c r="W185" s="446" t="s">
        <v>60</v>
      </c>
      <c r="X185" s="446" t="s">
        <v>3410</v>
      </c>
      <c r="Z185" s="446"/>
      <c r="AA185" s="28"/>
      <c r="AB185" s="28"/>
      <c r="AC185" s="997"/>
      <c r="AD185" s="536"/>
    </row>
    <row r="186" spans="2:30" ht="10.5" customHeight="1">
      <c r="B186" s="292"/>
      <c r="C186" s="394" t="s">
        <v>962</v>
      </c>
      <c r="D186" s="460">
        <v>38100</v>
      </c>
      <c r="E186" s="292"/>
      <c r="F186" s="292" t="s">
        <v>1358</v>
      </c>
      <c r="G186" s="1079" t="s">
        <v>2499</v>
      </c>
      <c r="H186" s="1079" t="s">
        <v>1222</v>
      </c>
      <c r="I186" s="1080" t="s">
        <v>2500</v>
      </c>
      <c r="J186" s="1080" t="s">
        <v>2628</v>
      </c>
      <c r="K186" s="1081" t="s">
        <v>627</v>
      </c>
      <c r="L186" s="1082" t="s">
        <v>425</v>
      </c>
      <c r="M186" s="2902" t="s">
        <v>2615</v>
      </c>
      <c r="N186" s="2902" t="s">
        <v>1708</v>
      </c>
      <c r="O186" s="2901" t="s">
        <v>4385</v>
      </c>
      <c r="P186" s="586" t="s">
        <v>2087</v>
      </c>
      <c r="Q186" s="546"/>
      <c r="R186" s="177"/>
      <c r="S186" s="403"/>
      <c r="T186" s="525" t="s">
        <v>1341</v>
      </c>
      <c r="U186" s="525" t="s">
        <v>1118</v>
      </c>
      <c r="W186" s="446" t="s">
        <v>62</v>
      </c>
      <c r="X186" s="446" t="s">
        <v>3410</v>
      </c>
      <c r="Z186" s="446"/>
      <c r="AA186" s="28"/>
      <c r="AB186" s="28"/>
      <c r="AC186" s="997"/>
      <c r="AD186" s="536"/>
    </row>
    <row r="187" spans="2:30" ht="10.5" customHeight="1">
      <c r="B187" s="292"/>
      <c r="C187" s="393" t="s">
        <v>883</v>
      </c>
      <c r="D187" s="460">
        <v>43700</v>
      </c>
      <c r="E187" s="292"/>
      <c r="F187" s="292" t="s">
        <v>1359</v>
      </c>
      <c r="G187" s="1079" t="s">
        <v>2501</v>
      </c>
      <c r="H187" s="1079" t="s">
        <v>1322</v>
      </c>
      <c r="I187" s="1083" t="s">
        <v>771</v>
      </c>
      <c r="J187" s="1083" t="s">
        <v>2629</v>
      </c>
      <c r="K187" s="1081" t="s">
        <v>2592</v>
      </c>
      <c r="L187" s="1082" t="s">
        <v>426</v>
      </c>
      <c r="M187" s="2900" t="s">
        <v>1206</v>
      </c>
      <c r="N187" s="2900" t="s">
        <v>1216</v>
      </c>
      <c r="O187" s="2901" t="s">
        <v>4386</v>
      </c>
      <c r="P187" s="586" t="s">
        <v>2088</v>
      </c>
      <c r="Q187" s="546"/>
      <c r="R187" s="177"/>
      <c r="S187" s="403"/>
      <c r="T187" s="525" t="s">
        <v>2089</v>
      </c>
      <c r="U187" s="525" t="s">
        <v>2501</v>
      </c>
      <c r="W187" s="446" t="s">
        <v>354</v>
      </c>
      <c r="X187" s="446" t="s">
        <v>3410</v>
      </c>
      <c r="Z187" s="446"/>
      <c r="AA187" s="28"/>
      <c r="AB187" s="28"/>
      <c r="AC187" s="997"/>
      <c r="AD187" s="536"/>
    </row>
    <row r="188" spans="2:30" ht="10.5" customHeight="1">
      <c r="B188" s="292"/>
      <c r="C188" s="394" t="s">
        <v>887</v>
      </c>
      <c r="D188" s="460">
        <v>43600</v>
      </c>
      <c r="E188" s="292"/>
      <c r="F188" s="292" t="s">
        <v>1360</v>
      </c>
      <c r="G188" s="1079" t="s">
        <v>2502</v>
      </c>
      <c r="H188" s="1079" t="s">
        <v>1222</v>
      </c>
      <c r="I188" s="1080" t="s">
        <v>2503</v>
      </c>
      <c r="J188" s="1080" t="s">
        <v>2628</v>
      </c>
      <c r="K188" s="1081" t="s">
        <v>628</v>
      </c>
      <c r="L188" s="1082" t="s">
        <v>425</v>
      </c>
      <c r="M188" s="2902" t="s">
        <v>2615</v>
      </c>
      <c r="N188" s="2902" t="s">
        <v>1708</v>
      </c>
      <c r="O188" s="2901" t="s">
        <v>4387</v>
      </c>
      <c r="P188" s="586" t="s">
        <v>2090</v>
      </c>
      <c r="Q188" s="546"/>
      <c r="R188" s="177"/>
      <c r="S188" s="403"/>
      <c r="T188" s="525" t="s">
        <v>2014</v>
      </c>
      <c r="U188" s="525" t="s">
        <v>2188</v>
      </c>
      <c r="W188" s="446" t="s">
        <v>358</v>
      </c>
      <c r="X188" s="446" t="s">
        <v>3410</v>
      </c>
      <c r="Z188" s="446"/>
      <c r="AA188" s="28"/>
      <c r="AB188" s="28"/>
      <c r="AC188" s="997"/>
      <c r="AD188" s="536"/>
    </row>
    <row r="189" spans="2:30" ht="10.5" customHeight="1">
      <c r="B189" s="292"/>
      <c r="C189" s="394" t="s">
        <v>2258</v>
      </c>
      <c r="D189" s="460">
        <v>39000</v>
      </c>
      <c r="E189" s="292"/>
      <c r="F189" s="292" t="s">
        <v>1361</v>
      </c>
      <c r="G189" s="1079" t="s">
        <v>2504</v>
      </c>
      <c r="H189" s="1079" t="s">
        <v>1222</v>
      </c>
      <c r="I189" s="1080" t="s">
        <v>2543</v>
      </c>
      <c r="J189" s="1080" t="s">
        <v>2628</v>
      </c>
      <c r="K189" s="1081" t="s">
        <v>629</v>
      </c>
      <c r="L189" s="1082" t="s">
        <v>425</v>
      </c>
      <c r="M189" s="2902" t="s">
        <v>2615</v>
      </c>
      <c r="N189" s="2902" t="s">
        <v>1794</v>
      </c>
      <c r="O189" s="2901" t="s">
        <v>4388</v>
      </c>
      <c r="P189" s="586" t="s">
        <v>2121</v>
      </c>
      <c r="Q189" s="546"/>
      <c r="R189" s="177"/>
      <c r="S189" s="403"/>
      <c r="T189" s="525" t="s">
        <v>2091</v>
      </c>
      <c r="U189" s="525" t="s">
        <v>330</v>
      </c>
      <c r="W189" s="446" t="s">
        <v>2305</v>
      </c>
      <c r="X189" s="446" t="s">
        <v>3410</v>
      </c>
      <c r="Z189" s="446"/>
      <c r="AA189" s="28"/>
      <c r="AB189" s="28"/>
      <c r="AC189" s="997"/>
      <c r="AD189" s="536"/>
    </row>
    <row r="190" spans="2:30" ht="10.5" customHeight="1">
      <c r="B190" s="292"/>
      <c r="C190" s="394" t="s">
        <v>659</v>
      </c>
      <c r="D190" s="460">
        <v>48400</v>
      </c>
      <c r="E190" s="292"/>
      <c r="F190" s="292" t="s">
        <v>1362</v>
      </c>
      <c r="G190" s="1079" t="s">
        <v>2544</v>
      </c>
      <c r="H190" s="1079" t="s">
        <v>1322</v>
      </c>
      <c r="I190" s="1083" t="s">
        <v>772</v>
      </c>
      <c r="J190" s="1083" t="s">
        <v>2629</v>
      </c>
      <c r="K190" s="1081" t="s">
        <v>2614</v>
      </c>
      <c r="L190" s="1082" t="s">
        <v>426</v>
      </c>
      <c r="M190" s="2900" t="s">
        <v>2615</v>
      </c>
      <c r="N190" s="2900" t="s">
        <v>1341</v>
      </c>
      <c r="O190" s="2901" t="s">
        <v>4389</v>
      </c>
      <c r="P190" s="586" t="s">
        <v>2123</v>
      </c>
      <c r="Q190" s="546"/>
      <c r="R190" s="177"/>
      <c r="S190" s="403"/>
      <c r="T190" s="525" t="s">
        <v>2122</v>
      </c>
      <c r="U190" s="525" t="s">
        <v>633</v>
      </c>
      <c r="W190" s="446" t="s">
        <v>1343</v>
      </c>
      <c r="X190" s="446" t="s">
        <v>3410</v>
      </c>
      <c r="Z190" s="446"/>
      <c r="AA190" s="28"/>
      <c r="AB190" s="28"/>
      <c r="AC190" s="997"/>
      <c r="AD190" s="536"/>
    </row>
    <row r="191" spans="2:30" ht="10.5" customHeight="1">
      <c r="B191" s="292"/>
      <c r="C191" s="394" t="s">
        <v>661</v>
      </c>
      <c r="D191" s="460">
        <v>42700</v>
      </c>
      <c r="E191" s="292"/>
      <c r="F191" s="292" t="s">
        <v>1363</v>
      </c>
      <c r="G191" s="1079" t="s">
        <v>2545</v>
      </c>
      <c r="H191" s="1079" t="s">
        <v>1222</v>
      </c>
      <c r="I191" s="1080" t="s">
        <v>2546</v>
      </c>
      <c r="J191" s="1080" t="s">
        <v>2628</v>
      </c>
      <c r="K191" s="1081" t="s">
        <v>630</v>
      </c>
      <c r="L191" s="1082" t="s">
        <v>425</v>
      </c>
      <c r="M191" s="2902" t="s">
        <v>2615</v>
      </c>
      <c r="N191" s="2902" t="s">
        <v>1708</v>
      </c>
      <c r="O191" s="2901" t="s">
        <v>4390</v>
      </c>
      <c r="P191" s="586" t="s">
        <v>2125</v>
      </c>
      <c r="Q191" s="546"/>
      <c r="R191" s="177"/>
      <c r="S191" s="403"/>
      <c r="T191" s="525" t="s">
        <v>2124</v>
      </c>
      <c r="U191" s="525" t="s">
        <v>1645</v>
      </c>
      <c r="W191" s="446" t="s">
        <v>1571</v>
      </c>
      <c r="X191" s="446" t="s">
        <v>3410</v>
      </c>
      <c r="Z191" s="446"/>
      <c r="AA191" s="28"/>
      <c r="AB191" s="28"/>
      <c r="AC191" s="997"/>
      <c r="AD191" s="536"/>
    </row>
    <row r="192" spans="2:30" ht="10.5" customHeight="1">
      <c r="B192" s="292"/>
      <c r="C192" s="394" t="s">
        <v>666</v>
      </c>
      <c r="D192" s="460">
        <v>47200</v>
      </c>
      <c r="E192" s="292"/>
      <c r="F192" s="292" t="s">
        <v>1364</v>
      </c>
      <c r="G192" s="1079" t="s">
        <v>2547</v>
      </c>
      <c r="H192" s="1079" t="s">
        <v>1322</v>
      </c>
      <c r="I192" s="1083" t="s">
        <v>771</v>
      </c>
      <c r="J192" s="1083" t="s">
        <v>2629</v>
      </c>
      <c r="K192" s="1081" t="s">
        <v>2592</v>
      </c>
      <c r="L192" s="1082" t="s">
        <v>426</v>
      </c>
      <c r="M192" s="2900" t="s">
        <v>1206</v>
      </c>
      <c r="N192" s="2900" t="s">
        <v>1216</v>
      </c>
      <c r="O192" s="2901" t="s">
        <v>4391</v>
      </c>
      <c r="P192" s="586" t="s">
        <v>2127</v>
      </c>
      <c r="Q192" s="546"/>
      <c r="R192" s="177"/>
      <c r="S192" s="403"/>
      <c r="T192" s="525" t="s">
        <v>2126</v>
      </c>
      <c r="U192" s="525" t="s">
        <v>198</v>
      </c>
      <c r="W192" s="446" t="s">
        <v>1575</v>
      </c>
      <c r="X192" s="446" t="s">
        <v>3410</v>
      </c>
      <c r="Z192" s="446"/>
      <c r="AA192" s="28"/>
      <c r="AB192" s="28"/>
      <c r="AC192" s="997"/>
      <c r="AD192" s="536"/>
    </row>
    <row r="193" spans="2:30" ht="10.5" customHeight="1">
      <c r="B193" s="292"/>
      <c r="C193" s="394" t="s">
        <v>1232</v>
      </c>
      <c r="D193" s="460">
        <v>61700</v>
      </c>
      <c r="E193" s="292"/>
      <c r="F193" s="292" t="s">
        <v>1365</v>
      </c>
      <c r="G193" s="1079" t="s">
        <v>2548</v>
      </c>
      <c r="H193" s="1079" t="s">
        <v>1322</v>
      </c>
      <c r="I193" s="1083" t="s">
        <v>1331</v>
      </c>
      <c r="J193" s="1083" t="s">
        <v>2629</v>
      </c>
      <c r="K193" s="1081" t="s">
        <v>2595</v>
      </c>
      <c r="L193" s="1082" t="s">
        <v>426</v>
      </c>
      <c r="M193" s="2900" t="s">
        <v>2615</v>
      </c>
      <c r="N193" s="2900" t="s">
        <v>1331</v>
      </c>
      <c r="O193" s="2901" t="s">
        <v>4392</v>
      </c>
      <c r="P193" s="586" t="s">
        <v>2555</v>
      </c>
      <c r="Q193" s="546"/>
      <c r="R193" s="177"/>
      <c r="S193" s="403"/>
      <c r="T193" s="525" t="s">
        <v>1795</v>
      </c>
      <c r="U193" s="525" t="s">
        <v>123</v>
      </c>
      <c r="W193" s="446" t="s">
        <v>1757</v>
      </c>
      <c r="X193" s="446" t="s">
        <v>3410</v>
      </c>
      <c r="Z193" s="446"/>
      <c r="AA193" s="28"/>
      <c r="AB193" s="28"/>
      <c r="AC193" s="997"/>
      <c r="AD193" s="536"/>
    </row>
    <row r="194" spans="2:30" ht="10.5" customHeight="1">
      <c r="B194" s="292"/>
      <c r="C194" s="394" t="s">
        <v>668</v>
      </c>
      <c r="D194" s="460">
        <v>48800</v>
      </c>
      <c r="E194" s="292"/>
      <c r="F194" s="292" t="s">
        <v>1366</v>
      </c>
      <c r="G194" s="1079" t="s">
        <v>2549</v>
      </c>
      <c r="H194" s="1079" t="s">
        <v>1222</v>
      </c>
      <c r="I194" s="1080" t="s">
        <v>195</v>
      </c>
      <c r="J194" s="1080" t="s">
        <v>2628</v>
      </c>
      <c r="K194" s="1081" t="s">
        <v>631</v>
      </c>
      <c r="L194" s="1082" t="s">
        <v>425</v>
      </c>
      <c r="M194" s="2902" t="s">
        <v>2615</v>
      </c>
      <c r="N194" s="2902" t="s">
        <v>1794</v>
      </c>
      <c r="O194" s="2901" t="s">
        <v>4393</v>
      </c>
      <c r="P194" s="586" t="s">
        <v>1014</v>
      </c>
      <c r="Q194" s="546"/>
      <c r="R194" s="177"/>
      <c r="S194" s="403"/>
      <c r="T194" s="525" t="s">
        <v>2556</v>
      </c>
      <c r="U194" s="525" t="s">
        <v>165</v>
      </c>
      <c r="W194" s="446" t="s">
        <v>1031</v>
      </c>
      <c r="X194" s="446" t="s">
        <v>3410</v>
      </c>
      <c r="Z194" s="446"/>
      <c r="AA194" s="28"/>
      <c r="AB194" s="28"/>
      <c r="AC194" s="997"/>
      <c r="AD194" s="536"/>
    </row>
    <row r="195" spans="2:30" ht="10.5" customHeight="1">
      <c r="B195" s="292"/>
      <c r="C195" s="394" t="s">
        <v>670</v>
      </c>
      <c r="D195" s="460">
        <v>51300</v>
      </c>
      <c r="E195" s="292"/>
      <c r="F195" s="292" t="s">
        <v>1367</v>
      </c>
      <c r="G195" s="1079" t="s">
        <v>196</v>
      </c>
      <c r="H195" s="1079" t="s">
        <v>1322</v>
      </c>
      <c r="I195" s="1083" t="s">
        <v>1532</v>
      </c>
      <c r="J195" s="1083" t="s">
        <v>2629</v>
      </c>
      <c r="K195" s="1081" t="s">
        <v>1692</v>
      </c>
      <c r="L195" s="1082" t="s">
        <v>426</v>
      </c>
      <c r="M195" s="2900" t="s">
        <v>2615</v>
      </c>
      <c r="N195" s="2900" t="s">
        <v>1532</v>
      </c>
      <c r="O195" s="2901" t="s">
        <v>4394</v>
      </c>
      <c r="P195" s="586" t="s">
        <v>2017</v>
      </c>
      <c r="Q195" s="546"/>
      <c r="R195" s="177"/>
      <c r="S195" s="403"/>
      <c r="T195" s="525" t="s">
        <v>1015</v>
      </c>
      <c r="U195" s="525" t="s">
        <v>431</v>
      </c>
      <c r="W195" s="446" t="s">
        <v>1034</v>
      </c>
      <c r="X195" s="446" t="s">
        <v>3410</v>
      </c>
      <c r="Z195" s="446"/>
      <c r="AA195" s="28"/>
      <c r="AB195" s="28"/>
      <c r="AC195" s="997"/>
      <c r="AD195" s="536"/>
    </row>
    <row r="196" spans="2:30" ht="10.5" customHeight="1">
      <c r="B196" s="292"/>
      <c r="C196" s="394" t="s">
        <v>673</v>
      </c>
      <c r="D196" s="460">
        <v>49400</v>
      </c>
      <c r="E196" s="292"/>
      <c r="F196" s="292" t="s">
        <v>1368</v>
      </c>
      <c r="G196" s="1079" t="s">
        <v>197</v>
      </c>
      <c r="H196" s="1079" t="s">
        <v>1322</v>
      </c>
      <c r="I196" s="1083" t="s">
        <v>771</v>
      </c>
      <c r="J196" s="1083" t="s">
        <v>2629</v>
      </c>
      <c r="K196" s="1081" t="s">
        <v>2592</v>
      </c>
      <c r="L196" s="1082" t="s">
        <v>426</v>
      </c>
      <c r="M196" s="2900" t="s">
        <v>1206</v>
      </c>
      <c r="N196" s="2900" t="s">
        <v>1216</v>
      </c>
      <c r="O196" s="2901" t="s">
        <v>4395</v>
      </c>
      <c r="P196" s="586" t="s">
        <v>15</v>
      </c>
      <c r="Q196" s="546"/>
      <c r="R196" s="177"/>
      <c r="S196" s="403"/>
      <c r="T196" s="525" t="s">
        <v>1325</v>
      </c>
      <c r="U196" s="525" t="s">
        <v>330</v>
      </c>
      <c r="W196" s="446" t="s">
        <v>1770</v>
      </c>
      <c r="X196" s="446" t="s">
        <v>3410</v>
      </c>
      <c r="Z196" s="446"/>
      <c r="AA196" s="28"/>
      <c r="AB196" s="28"/>
      <c r="AC196" s="997"/>
      <c r="AD196" s="536"/>
    </row>
    <row r="197" spans="2:30" ht="10.5" customHeight="1">
      <c r="B197" s="292"/>
      <c r="C197" s="394" t="s">
        <v>675</v>
      </c>
      <c r="D197" s="460">
        <v>39600</v>
      </c>
      <c r="E197" s="292"/>
      <c r="F197" s="292" t="s">
        <v>1369</v>
      </c>
      <c r="G197" s="1079" t="s">
        <v>198</v>
      </c>
      <c r="H197" s="1079" t="s">
        <v>1222</v>
      </c>
      <c r="I197" s="1080" t="s">
        <v>199</v>
      </c>
      <c r="J197" s="1080" t="s">
        <v>2628</v>
      </c>
      <c r="K197" s="1081" t="s">
        <v>632</v>
      </c>
      <c r="L197" s="1082" t="s">
        <v>425</v>
      </c>
      <c r="M197" s="2902" t="s">
        <v>2615</v>
      </c>
      <c r="N197" s="2902" t="s">
        <v>1794</v>
      </c>
      <c r="O197" s="2901" t="s">
        <v>4396</v>
      </c>
      <c r="P197" s="586" t="s">
        <v>2250</v>
      </c>
      <c r="Q197" s="546"/>
      <c r="R197" s="177"/>
      <c r="S197" s="403"/>
      <c r="T197" s="525" t="s">
        <v>16</v>
      </c>
      <c r="U197" s="525" t="s">
        <v>1678</v>
      </c>
      <c r="W197" s="446" t="s">
        <v>2079</v>
      </c>
      <c r="X197" s="446" t="s">
        <v>3410</v>
      </c>
      <c r="Z197" s="446"/>
      <c r="AA197" s="28"/>
      <c r="AB197" s="28"/>
      <c r="AC197" s="997"/>
      <c r="AD197" s="536"/>
    </row>
    <row r="198" spans="2:30" ht="10.5" customHeight="1">
      <c r="B198" s="292"/>
      <c r="C198" s="394" t="s">
        <v>677</v>
      </c>
      <c r="D198" s="460">
        <v>50900</v>
      </c>
      <c r="E198" s="292"/>
      <c r="F198" s="292" t="s">
        <v>1370</v>
      </c>
      <c r="G198" s="1079" t="s">
        <v>200</v>
      </c>
      <c r="H198" s="1079" t="s">
        <v>1322</v>
      </c>
      <c r="I198" s="1083" t="s">
        <v>771</v>
      </c>
      <c r="J198" s="1083" t="s">
        <v>2629</v>
      </c>
      <c r="K198" s="1081" t="s">
        <v>2592</v>
      </c>
      <c r="L198" s="1082" t="s">
        <v>426</v>
      </c>
      <c r="M198" s="2900" t="s">
        <v>1206</v>
      </c>
      <c r="N198" s="2900" t="s">
        <v>1216</v>
      </c>
      <c r="O198" s="2901" t="s">
        <v>4397</v>
      </c>
      <c r="P198" s="586" t="s">
        <v>2252</v>
      </c>
      <c r="Q198" s="546"/>
      <c r="R198" s="177"/>
      <c r="S198" s="403"/>
      <c r="T198" s="525" t="s">
        <v>2251</v>
      </c>
      <c r="U198" s="525" t="s">
        <v>1221</v>
      </c>
      <c r="W198" s="446" t="s">
        <v>2081</v>
      </c>
      <c r="X198" s="446" t="s">
        <v>3410</v>
      </c>
      <c r="Z198" s="446"/>
      <c r="AA198" s="28"/>
      <c r="AB198" s="28"/>
      <c r="AC198" s="997"/>
      <c r="AD198" s="536"/>
    </row>
    <row r="199" spans="2:30" ht="10.5" customHeight="1">
      <c r="B199" s="292"/>
      <c r="C199" s="394" t="s">
        <v>124</v>
      </c>
      <c r="D199" s="460">
        <v>51800</v>
      </c>
      <c r="E199" s="292"/>
      <c r="F199" s="292" t="s">
        <v>1371</v>
      </c>
      <c r="G199" s="1079" t="s">
        <v>201</v>
      </c>
      <c r="H199" s="1079" t="s">
        <v>1222</v>
      </c>
      <c r="I199" s="1080" t="s">
        <v>960</v>
      </c>
      <c r="J199" s="1080" t="s">
        <v>2628</v>
      </c>
      <c r="K199" s="1081" t="s">
        <v>1973</v>
      </c>
      <c r="L199" s="1082" t="s">
        <v>425</v>
      </c>
      <c r="M199" s="2902" t="s">
        <v>2615</v>
      </c>
      <c r="N199" s="2902" t="s">
        <v>1331</v>
      </c>
      <c r="O199" s="2901" t="s">
        <v>4398</v>
      </c>
      <c r="P199" s="586" t="s">
        <v>2254</v>
      </c>
      <c r="Q199" s="546"/>
      <c r="R199" s="177"/>
      <c r="S199" s="403"/>
      <c r="T199" s="292" t="s">
        <v>2253</v>
      </c>
      <c r="U199" s="292" t="s">
        <v>2259</v>
      </c>
      <c r="W199" s="446" t="s">
        <v>681</v>
      </c>
      <c r="X199" s="446" t="s">
        <v>3410</v>
      </c>
      <c r="Z199" s="446"/>
      <c r="AA199" s="28"/>
      <c r="AB199" s="28"/>
      <c r="AC199" s="536"/>
      <c r="AD199" s="536"/>
    </row>
    <row r="200" spans="2:30" ht="10.5" customHeight="1">
      <c r="B200" s="292"/>
      <c r="C200" s="394" t="s">
        <v>315</v>
      </c>
      <c r="D200" s="460">
        <v>32300</v>
      </c>
      <c r="E200" s="292"/>
      <c r="F200" s="292" t="s">
        <v>1372</v>
      </c>
      <c r="G200" s="1079" t="s">
        <v>961</v>
      </c>
      <c r="H200" s="1079" t="s">
        <v>1222</v>
      </c>
      <c r="I200" s="1080" t="s">
        <v>962</v>
      </c>
      <c r="J200" s="1080" t="s">
        <v>2628</v>
      </c>
      <c r="K200" s="1081" t="s">
        <v>1974</v>
      </c>
      <c r="L200" s="1082" t="s">
        <v>425</v>
      </c>
      <c r="M200" s="2902" t="s">
        <v>2615</v>
      </c>
      <c r="N200" s="2902" t="s">
        <v>1794</v>
      </c>
      <c r="O200" s="2901" t="s">
        <v>4399</v>
      </c>
      <c r="P200" s="586" t="s">
        <v>2284</v>
      </c>
      <c r="Q200" s="546"/>
      <c r="R200" s="177"/>
      <c r="S200" s="403"/>
      <c r="T200" s="525" t="s">
        <v>2577</v>
      </c>
      <c r="U200" s="525" t="s">
        <v>633</v>
      </c>
      <c r="W200" s="446" t="s">
        <v>1258</v>
      </c>
      <c r="X200" s="446" t="s">
        <v>3410</v>
      </c>
      <c r="Z200" s="446"/>
      <c r="AA200" s="28"/>
      <c r="AB200" s="28"/>
      <c r="AC200" s="997"/>
      <c r="AD200" s="536"/>
    </row>
    <row r="201" spans="2:30" ht="10.5" customHeight="1">
      <c r="B201" s="292"/>
      <c r="C201" s="394" t="s">
        <v>773</v>
      </c>
      <c r="D201" s="460">
        <v>52700</v>
      </c>
      <c r="E201" s="292"/>
      <c r="F201" s="292" t="s">
        <v>1373</v>
      </c>
      <c r="G201" s="1079" t="s">
        <v>963</v>
      </c>
      <c r="H201" s="1079" t="s">
        <v>1222</v>
      </c>
      <c r="I201" s="1083" t="s">
        <v>1794</v>
      </c>
      <c r="J201" s="1083" t="s">
        <v>2629</v>
      </c>
      <c r="K201" s="1081" t="s">
        <v>1170</v>
      </c>
      <c r="L201" s="1082" t="s">
        <v>426</v>
      </c>
      <c r="M201" s="2902" t="s">
        <v>1206</v>
      </c>
      <c r="N201" s="2902" t="s">
        <v>1794</v>
      </c>
      <c r="O201" s="2901" t="s">
        <v>4400</v>
      </c>
      <c r="P201" s="586" t="s">
        <v>1785</v>
      </c>
      <c r="Q201" s="546"/>
      <c r="R201" s="177"/>
      <c r="S201" s="403"/>
      <c r="T201" s="525" t="s">
        <v>2255</v>
      </c>
      <c r="U201" s="525" t="s">
        <v>122</v>
      </c>
      <c r="W201" s="446" t="s">
        <v>1260</v>
      </c>
      <c r="X201" s="446" t="s">
        <v>3410</v>
      </c>
      <c r="Z201" s="446"/>
      <c r="AA201" s="28"/>
      <c r="AB201" s="28"/>
      <c r="AC201" s="997"/>
      <c r="AD201" s="536"/>
    </row>
    <row r="202" spans="2:30" ht="10.5" customHeight="1">
      <c r="B202" s="292"/>
      <c r="C202" s="394" t="s">
        <v>319</v>
      </c>
      <c r="D202" s="460">
        <v>48700</v>
      </c>
      <c r="E202" s="292"/>
      <c r="F202" s="292" t="s">
        <v>1374</v>
      </c>
      <c r="G202" s="1079" t="s">
        <v>881</v>
      </c>
      <c r="H202" s="1079" t="s">
        <v>1322</v>
      </c>
      <c r="I202" s="1083" t="s">
        <v>771</v>
      </c>
      <c r="J202" s="1083" t="s">
        <v>2629</v>
      </c>
      <c r="K202" s="1081" t="s">
        <v>2592</v>
      </c>
      <c r="L202" s="1082" t="s">
        <v>426</v>
      </c>
      <c r="M202" s="2900" t="s">
        <v>1206</v>
      </c>
      <c r="N202" s="2900" t="s">
        <v>1216</v>
      </c>
      <c r="O202" s="2901" t="s">
        <v>4401</v>
      </c>
      <c r="P202" s="586" t="s">
        <v>1787</v>
      </c>
      <c r="Q202" s="546"/>
      <c r="R202" s="177"/>
      <c r="S202" s="403"/>
      <c r="T202" s="525" t="s">
        <v>1761</v>
      </c>
      <c r="U202" s="525" t="s">
        <v>2504</v>
      </c>
      <c r="W202" s="446" t="s">
        <v>2498</v>
      </c>
      <c r="X202" s="446" t="s">
        <v>3410</v>
      </c>
      <c r="Z202" s="446"/>
      <c r="AA202" s="28"/>
      <c r="AB202" s="28"/>
      <c r="AC202" s="997"/>
      <c r="AD202" s="536"/>
    </row>
    <row r="203" spans="2:30" ht="10.5" customHeight="1">
      <c r="B203" s="292"/>
      <c r="C203" s="394" t="s">
        <v>1047</v>
      </c>
      <c r="D203" s="460">
        <v>46600</v>
      </c>
      <c r="E203" s="292"/>
      <c r="F203" s="292" t="s">
        <v>1375</v>
      </c>
      <c r="G203" s="1079" t="s">
        <v>882</v>
      </c>
      <c r="H203" s="1079" t="s">
        <v>1222</v>
      </c>
      <c r="I203" s="1080" t="s">
        <v>883</v>
      </c>
      <c r="J203" s="1080" t="s">
        <v>2628</v>
      </c>
      <c r="K203" s="1081" t="s">
        <v>1975</v>
      </c>
      <c r="L203" s="1082" t="s">
        <v>425</v>
      </c>
      <c r="M203" s="2902" t="s">
        <v>2615</v>
      </c>
      <c r="N203" s="2902" t="s">
        <v>1794</v>
      </c>
      <c r="O203" s="2901" t="s">
        <v>4402</v>
      </c>
      <c r="P203" s="586" t="s">
        <v>2173</v>
      </c>
      <c r="Q203" s="546"/>
      <c r="R203" s="177"/>
      <c r="S203" s="403"/>
      <c r="T203" s="525" t="s">
        <v>1786</v>
      </c>
      <c r="U203" s="525" t="s">
        <v>1324</v>
      </c>
      <c r="W203" s="446" t="s">
        <v>2508</v>
      </c>
      <c r="X203" s="446" t="s">
        <v>3410</v>
      </c>
      <c r="Z203" s="446"/>
      <c r="AA203" s="28"/>
      <c r="AB203" s="28"/>
      <c r="AC203" s="997"/>
      <c r="AD203" s="536"/>
    </row>
    <row r="204" spans="2:30" ht="10.5" customHeight="1">
      <c r="B204" s="292"/>
      <c r="C204" s="394" t="s">
        <v>324</v>
      </c>
      <c r="D204" s="460">
        <v>48900</v>
      </c>
      <c r="E204" s="292"/>
      <c r="F204" s="292" t="s">
        <v>1376</v>
      </c>
      <c r="G204" s="1079" t="s">
        <v>884</v>
      </c>
      <c r="H204" s="1079" t="s">
        <v>1222</v>
      </c>
      <c r="I204" s="1080" t="s">
        <v>1708</v>
      </c>
      <c r="J204" s="1080" t="s">
        <v>2629</v>
      </c>
      <c r="K204" s="1081" t="s">
        <v>2598</v>
      </c>
      <c r="L204" s="1082" t="s">
        <v>426</v>
      </c>
      <c r="M204" s="2900" t="s">
        <v>2615</v>
      </c>
      <c r="N204" s="2900" t="s">
        <v>1708</v>
      </c>
      <c r="O204" s="2901" t="s">
        <v>4403</v>
      </c>
      <c r="P204" s="586" t="s">
        <v>2174</v>
      </c>
      <c r="Q204" s="546"/>
      <c r="R204" s="177"/>
      <c r="S204" s="403"/>
      <c r="T204" s="525" t="s">
        <v>1788</v>
      </c>
      <c r="U204" s="525" t="s">
        <v>2023</v>
      </c>
      <c r="W204" s="446" t="s">
        <v>88</v>
      </c>
      <c r="X204" s="446" t="s">
        <v>3410</v>
      </c>
      <c r="Z204" s="446"/>
      <c r="AA204" s="28"/>
      <c r="AB204" s="28"/>
      <c r="AC204" s="997"/>
      <c r="AD204" s="536"/>
    </row>
    <row r="205" spans="2:30" ht="10.5" customHeight="1">
      <c r="B205" s="292"/>
      <c r="C205" s="393" t="s">
        <v>326</v>
      </c>
      <c r="D205" s="460">
        <v>63600</v>
      </c>
      <c r="E205" s="292"/>
      <c r="F205" s="292" t="s">
        <v>1377</v>
      </c>
      <c r="G205" s="1079" t="s">
        <v>885</v>
      </c>
      <c r="H205" s="1079" t="s">
        <v>1222</v>
      </c>
      <c r="I205" s="1083" t="s">
        <v>1337</v>
      </c>
      <c r="J205" s="1083" t="s">
        <v>2629</v>
      </c>
      <c r="K205" s="1081" t="s">
        <v>1474</v>
      </c>
      <c r="L205" s="1082" t="s">
        <v>426</v>
      </c>
      <c r="M205" s="2900" t="s">
        <v>2615</v>
      </c>
      <c r="N205" s="2900" t="s">
        <v>1337</v>
      </c>
      <c r="O205" s="2901" t="s">
        <v>4404</v>
      </c>
      <c r="P205" s="586" t="s">
        <v>2459</v>
      </c>
      <c r="Q205" s="301"/>
      <c r="R205" s="177"/>
      <c r="S205" s="403"/>
      <c r="T205" s="525" t="s">
        <v>832</v>
      </c>
      <c r="U205" s="525" t="s">
        <v>2604</v>
      </c>
      <c r="W205" s="446" t="s">
        <v>1245</v>
      </c>
      <c r="X205" s="446" t="s">
        <v>3410</v>
      </c>
      <c r="Z205" s="446"/>
      <c r="AA205" s="28"/>
      <c r="AB205" s="28"/>
      <c r="AC205" s="997"/>
      <c r="AD205" s="997"/>
    </row>
    <row r="206" spans="2:30" ht="10.5" customHeight="1">
      <c r="B206" s="292"/>
      <c r="C206" s="394" t="s">
        <v>329</v>
      </c>
      <c r="D206" s="460">
        <v>44900</v>
      </c>
      <c r="E206" s="292"/>
      <c r="F206" s="587"/>
      <c r="G206" s="1079" t="s">
        <v>886</v>
      </c>
      <c r="H206" s="1079" t="s">
        <v>1322</v>
      </c>
      <c r="I206" s="1080" t="s">
        <v>887</v>
      </c>
      <c r="J206" s="1080" t="s">
        <v>2628</v>
      </c>
      <c r="K206" s="1081" t="s">
        <v>1346</v>
      </c>
      <c r="L206" s="1082" t="s">
        <v>425</v>
      </c>
      <c r="M206" s="2902" t="s">
        <v>2615</v>
      </c>
      <c r="N206" s="2902" t="s">
        <v>167</v>
      </c>
      <c r="O206" s="2901" t="s">
        <v>4405</v>
      </c>
      <c r="P206" s="586" t="s">
        <v>2461</v>
      </c>
      <c r="Q206" s="301"/>
      <c r="R206" s="177"/>
      <c r="S206" s="403"/>
      <c r="T206" s="525" t="s">
        <v>2175</v>
      </c>
      <c r="U206" s="525" t="s">
        <v>2606</v>
      </c>
      <c r="W206" s="446" t="s">
        <v>162</v>
      </c>
      <c r="X206" s="446" t="s">
        <v>3410</v>
      </c>
      <c r="Z206" s="446"/>
      <c r="AA206" s="28"/>
      <c r="AB206" s="28"/>
      <c r="AC206" s="997"/>
      <c r="AD206" s="536"/>
    </row>
    <row r="207" spans="2:30" ht="10.5" customHeight="1">
      <c r="B207" s="292"/>
      <c r="C207" s="393" t="s">
        <v>331</v>
      </c>
      <c r="D207" s="460">
        <v>33500</v>
      </c>
      <c r="E207" s="292"/>
      <c r="F207" s="587"/>
      <c r="G207" s="1079" t="s">
        <v>2257</v>
      </c>
      <c r="H207" s="1079" t="s">
        <v>1222</v>
      </c>
      <c r="I207" s="1080" t="s">
        <v>2258</v>
      </c>
      <c r="J207" s="1080" t="s">
        <v>2628</v>
      </c>
      <c r="K207" s="1081" t="s">
        <v>1347</v>
      </c>
      <c r="L207" s="1082" t="s">
        <v>425</v>
      </c>
      <c r="M207" s="2902" t="s">
        <v>2615</v>
      </c>
      <c r="N207" s="2902" t="s">
        <v>1341</v>
      </c>
      <c r="O207" s="2901" t="s">
        <v>4406</v>
      </c>
      <c r="P207" s="586" t="s">
        <v>2463</v>
      </c>
      <c r="Q207" s="301"/>
      <c r="R207" s="177"/>
      <c r="S207" s="403"/>
      <c r="T207" s="292" t="s">
        <v>2460</v>
      </c>
      <c r="U207" s="292" t="s">
        <v>1103</v>
      </c>
      <c r="W207" s="446" t="s">
        <v>903</v>
      </c>
      <c r="X207" s="446" t="s">
        <v>3410</v>
      </c>
      <c r="Z207" s="446"/>
      <c r="AA207" s="28"/>
      <c r="AB207" s="28"/>
      <c r="AC207" s="536"/>
      <c r="AD207" s="536"/>
    </row>
    <row r="208" spans="2:30" ht="10.5" customHeight="1">
      <c r="B208" s="292"/>
      <c r="C208" s="394" t="s">
        <v>333</v>
      </c>
      <c r="D208" s="460">
        <v>37300</v>
      </c>
      <c r="E208" s="292"/>
      <c r="F208" s="587"/>
      <c r="G208" s="1079" t="s">
        <v>2259</v>
      </c>
      <c r="H208" s="1079" t="s">
        <v>1222</v>
      </c>
      <c r="I208" s="1080" t="s">
        <v>659</v>
      </c>
      <c r="J208" s="1080" t="s">
        <v>2628</v>
      </c>
      <c r="K208" s="1081" t="s">
        <v>1348</v>
      </c>
      <c r="L208" s="1082" t="s">
        <v>425</v>
      </c>
      <c r="M208" s="2902" t="s">
        <v>2615</v>
      </c>
      <c r="N208" s="2902" t="s">
        <v>1337</v>
      </c>
      <c r="O208" s="2901" t="s">
        <v>4407</v>
      </c>
      <c r="P208" s="586" t="s">
        <v>2465</v>
      </c>
      <c r="Q208" s="301"/>
      <c r="R208" s="177"/>
      <c r="S208" s="403"/>
      <c r="T208" s="525" t="s">
        <v>2578</v>
      </c>
      <c r="U208" s="525" t="s">
        <v>321</v>
      </c>
      <c r="W208" s="446" t="s">
        <v>2155</v>
      </c>
      <c r="X208" s="446" t="s">
        <v>3410</v>
      </c>
      <c r="Z208" s="446"/>
      <c r="AA208" s="28"/>
      <c r="AB208" s="28"/>
      <c r="AC208" s="997"/>
      <c r="AD208" s="1000"/>
    </row>
    <row r="209" spans="2:30" ht="10.5" customHeight="1">
      <c r="B209" s="292"/>
      <c r="C209" s="394" t="s">
        <v>335</v>
      </c>
      <c r="D209" s="460">
        <v>46300</v>
      </c>
      <c r="E209" s="292"/>
      <c r="F209" s="587"/>
      <c r="G209" s="1079" t="s">
        <v>660</v>
      </c>
      <c r="H209" s="1079" t="s">
        <v>1322</v>
      </c>
      <c r="I209" s="1080" t="s">
        <v>661</v>
      </c>
      <c r="J209" s="1080" t="s">
        <v>2628</v>
      </c>
      <c r="K209" s="1081" t="s">
        <v>1349</v>
      </c>
      <c r="L209" s="1082" t="s">
        <v>425</v>
      </c>
      <c r="M209" s="2902" t="s">
        <v>2615</v>
      </c>
      <c r="N209" s="2902" t="s">
        <v>1216</v>
      </c>
      <c r="O209" s="2901" t="s">
        <v>4408</v>
      </c>
      <c r="P209" s="586" t="s">
        <v>2466</v>
      </c>
      <c r="Q209" s="301"/>
      <c r="R209" s="177"/>
      <c r="S209" s="403"/>
      <c r="T209" s="525" t="s">
        <v>2462</v>
      </c>
      <c r="U209" s="525" t="s">
        <v>1934</v>
      </c>
      <c r="W209" s="446" t="s">
        <v>2073</v>
      </c>
      <c r="X209" s="446" t="s">
        <v>3410</v>
      </c>
      <c r="Z209" s="446"/>
      <c r="AA209" s="28"/>
      <c r="AB209" s="28"/>
      <c r="AC209" s="997"/>
      <c r="AD209" s="536"/>
    </row>
    <row r="210" spans="2:30" ht="10.5" customHeight="1">
      <c r="B210" s="292"/>
      <c r="C210" s="394" t="s">
        <v>774</v>
      </c>
      <c r="D210" s="460">
        <v>51600</v>
      </c>
      <c r="E210" s="292"/>
      <c r="F210" s="587"/>
      <c r="G210" s="1079" t="s">
        <v>662</v>
      </c>
      <c r="H210" s="1079" t="s">
        <v>1322</v>
      </c>
      <c r="I210" s="1083" t="s">
        <v>771</v>
      </c>
      <c r="J210" s="1083" t="s">
        <v>2629</v>
      </c>
      <c r="K210" s="1081" t="s">
        <v>2592</v>
      </c>
      <c r="L210" s="1082" t="s">
        <v>426</v>
      </c>
      <c r="M210" s="2900" t="s">
        <v>1206</v>
      </c>
      <c r="N210" s="2900" t="s">
        <v>1216</v>
      </c>
      <c r="O210" s="2901" t="s">
        <v>4409</v>
      </c>
      <c r="P210" s="586" t="s">
        <v>2245</v>
      </c>
      <c r="Q210" s="301"/>
      <c r="R210" s="177"/>
      <c r="S210" s="403"/>
      <c r="T210" s="525" t="s">
        <v>2464</v>
      </c>
      <c r="U210" s="525" t="s">
        <v>882</v>
      </c>
      <c r="W210" s="446" t="s">
        <v>604</v>
      </c>
      <c r="X210" s="446" t="s">
        <v>3410</v>
      </c>
      <c r="Z210" s="446"/>
      <c r="AA210" s="28"/>
      <c r="AB210" s="28"/>
      <c r="AC210" s="997"/>
      <c r="AD210" s="536"/>
    </row>
    <row r="211" spans="2:30" ht="10.5" customHeight="1">
      <c r="B211" s="292"/>
      <c r="C211" s="394" t="s">
        <v>1465</v>
      </c>
      <c r="D211" s="460">
        <v>44200</v>
      </c>
      <c r="E211" s="292"/>
      <c r="F211" s="587"/>
      <c r="G211" s="1079" t="s">
        <v>663</v>
      </c>
      <c r="H211" s="1079" t="s">
        <v>1322</v>
      </c>
      <c r="I211" s="1083" t="s">
        <v>2283</v>
      </c>
      <c r="J211" s="1083" t="s">
        <v>2629</v>
      </c>
      <c r="K211" s="1081" t="s">
        <v>1350</v>
      </c>
      <c r="L211" s="1082" t="s">
        <v>426</v>
      </c>
      <c r="M211" s="2902" t="s">
        <v>1206</v>
      </c>
      <c r="N211" s="2902" t="s">
        <v>1216</v>
      </c>
      <c r="O211" s="2901" t="s">
        <v>4410</v>
      </c>
      <c r="P211" s="586" t="s">
        <v>714</v>
      </c>
      <c r="Q211" s="301"/>
      <c r="R211" s="177"/>
      <c r="S211" s="403"/>
      <c r="T211" s="525" t="s">
        <v>2467</v>
      </c>
      <c r="U211" s="525" t="s">
        <v>160</v>
      </c>
      <c r="W211" s="446" t="s">
        <v>606</v>
      </c>
      <c r="X211" s="446" t="s">
        <v>3410</v>
      </c>
      <c r="Z211" s="446"/>
      <c r="AA211" s="28"/>
      <c r="AB211" s="28"/>
      <c r="AC211" s="997"/>
      <c r="AD211" s="536"/>
    </row>
    <row r="212" spans="2:30" ht="10.5" customHeight="1">
      <c r="B212" s="292"/>
      <c r="C212" s="394" t="s">
        <v>1469</v>
      </c>
      <c r="D212" s="460">
        <v>47200</v>
      </c>
      <c r="E212" s="292"/>
      <c r="F212" s="587"/>
      <c r="G212" s="1079" t="s">
        <v>664</v>
      </c>
      <c r="H212" s="1079" t="s">
        <v>1322</v>
      </c>
      <c r="I212" s="1083" t="s">
        <v>771</v>
      </c>
      <c r="J212" s="1083" t="s">
        <v>2629</v>
      </c>
      <c r="K212" s="1081" t="s">
        <v>2592</v>
      </c>
      <c r="L212" s="1082" t="s">
        <v>426</v>
      </c>
      <c r="M212" s="2900" t="s">
        <v>1206</v>
      </c>
      <c r="N212" s="2900" t="s">
        <v>1216</v>
      </c>
      <c r="O212" s="2901" t="s">
        <v>4411</v>
      </c>
      <c r="P212" s="586" t="s">
        <v>716</v>
      </c>
      <c r="Q212" s="301"/>
      <c r="R212" s="177"/>
      <c r="S212" s="403"/>
      <c r="T212" s="525" t="s">
        <v>2246</v>
      </c>
      <c r="U212" s="525" t="s">
        <v>660</v>
      </c>
      <c r="W212" s="446" t="s">
        <v>2548</v>
      </c>
      <c r="X212" s="446" t="s">
        <v>3410</v>
      </c>
      <c r="Z212" s="446"/>
      <c r="AA212" s="28"/>
      <c r="AB212" s="28"/>
      <c r="AC212" s="997"/>
      <c r="AD212" s="536"/>
    </row>
    <row r="213" spans="2:30" ht="10.5" customHeight="1">
      <c r="B213" s="292"/>
      <c r="C213" s="394" t="s">
        <v>1471</v>
      </c>
      <c r="D213" s="460">
        <v>57500</v>
      </c>
      <c r="E213" s="292"/>
      <c r="F213" s="587"/>
      <c r="G213" s="1079" t="s">
        <v>665</v>
      </c>
      <c r="H213" s="1079" t="s">
        <v>1322</v>
      </c>
      <c r="I213" s="1083" t="s">
        <v>666</v>
      </c>
      <c r="J213" s="1083" t="s">
        <v>2628</v>
      </c>
      <c r="K213" s="1081" t="s">
        <v>1351</v>
      </c>
      <c r="L213" s="1082" t="s">
        <v>425</v>
      </c>
      <c r="M213" s="2902" t="s">
        <v>2615</v>
      </c>
      <c r="N213" s="2902" t="s">
        <v>167</v>
      </c>
      <c r="O213" s="2901" t="s">
        <v>4412</v>
      </c>
      <c r="P213" s="586" t="s">
        <v>718</v>
      </c>
      <c r="Q213" s="301"/>
      <c r="R213" s="177"/>
      <c r="S213" s="403"/>
      <c r="T213" s="525" t="s">
        <v>715</v>
      </c>
      <c r="U213" s="525" t="s">
        <v>2496</v>
      </c>
      <c r="W213" s="446" t="s">
        <v>610</v>
      </c>
      <c r="X213" s="446" t="s">
        <v>3410</v>
      </c>
      <c r="Z213" s="446"/>
      <c r="AA213" s="28"/>
      <c r="AB213" s="28"/>
      <c r="AC213" s="997"/>
      <c r="AD213" s="536"/>
    </row>
    <row r="214" spans="2:30" ht="10.5" customHeight="1">
      <c r="B214" s="292"/>
      <c r="C214" s="394" t="s">
        <v>178</v>
      </c>
      <c r="D214" s="460">
        <v>58300</v>
      </c>
      <c r="E214" s="292"/>
      <c r="F214" s="587"/>
      <c r="G214" s="1079" t="s">
        <v>1217</v>
      </c>
      <c r="H214" s="1079" t="s">
        <v>1322</v>
      </c>
      <c r="I214" s="1083" t="s">
        <v>771</v>
      </c>
      <c r="J214" s="1083" t="s">
        <v>2629</v>
      </c>
      <c r="K214" s="1081" t="s">
        <v>2592</v>
      </c>
      <c r="L214" s="1082" t="s">
        <v>426</v>
      </c>
      <c r="M214" s="2900" t="s">
        <v>1206</v>
      </c>
      <c r="N214" s="2900" t="s">
        <v>1216</v>
      </c>
      <c r="O214" s="2901" t="s">
        <v>4413</v>
      </c>
      <c r="P214" s="586" t="s">
        <v>720</v>
      </c>
      <c r="Q214" s="301"/>
      <c r="R214" s="177"/>
      <c r="S214" s="403"/>
      <c r="T214" s="525" t="s">
        <v>717</v>
      </c>
      <c r="U214" s="525" t="s">
        <v>1118</v>
      </c>
      <c r="W214" s="446" t="s">
        <v>550</v>
      </c>
      <c r="X214" s="446" t="s">
        <v>3410</v>
      </c>
      <c r="Z214" s="446"/>
      <c r="AA214" s="28"/>
      <c r="AB214" s="28"/>
      <c r="AC214" s="997"/>
      <c r="AD214" s="536"/>
    </row>
    <row r="215" spans="2:30" ht="10.5" customHeight="1">
      <c r="B215" s="292"/>
      <c r="C215" s="394" t="s">
        <v>1331</v>
      </c>
      <c r="D215" s="460">
        <v>49600</v>
      </c>
      <c r="E215" s="292"/>
      <c r="F215" s="587"/>
      <c r="G215" s="1079" t="s">
        <v>667</v>
      </c>
      <c r="H215" s="1079" t="s">
        <v>1322</v>
      </c>
      <c r="I215" s="1080" t="s">
        <v>668</v>
      </c>
      <c r="J215" s="1080" t="s">
        <v>2628</v>
      </c>
      <c r="K215" s="1081" t="s">
        <v>241</v>
      </c>
      <c r="L215" s="1082" t="s">
        <v>425</v>
      </c>
      <c r="M215" s="2902" t="s">
        <v>2615</v>
      </c>
      <c r="N215" s="2902" t="s">
        <v>1216</v>
      </c>
      <c r="O215" s="2901" t="s">
        <v>4414</v>
      </c>
      <c r="P215" s="586" t="s">
        <v>2237</v>
      </c>
      <c r="Q215" s="301"/>
      <c r="R215" s="177"/>
      <c r="S215" s="403"/>
      <c r="T215" s="292" t="s">
        <v>719</v>
      </c>
      <c r="U215" s="292" t="s">
        <v>2606</v>
      </c>
      <c r="W215" s="446" t="s">
        <v>753</v>
      </c>
      <c r="X215" s="446" t="s">
        <v>3410</v>
      </c>
      <c r="Z215" s="446"/>
      <c r="AA215" s="28"/>
      <c r="AB215" s="28"/>
      <c r="AC215" s="536"/>
      <c r="AD215" s="536"/>
    </row>
    <row r="216" spans="2:30" ht="10.5" customHeight="1">
      <c r="B216" s="292"/>
      <c r="C216" s="394" t="s">
        <v>179</v>
      </c>
      <c r="D216" s="460">
        <v>39700</v>
      </c>
      <c r="E216" s="292"/>
      <c r="F216" s="587"/>
      <c r="G216" s="1079" t="s">
        <v>669</v>
      </c>
      <c r="H216" s="1079" t="s">
        <v>1322</v>
      </c>
      <c r="I216" s="1083" t="s">
        <v>670</v>
      </c>
      <c r="J216" s="1083" t="s">
        <v>2628</v>
      </c>
      <c r="K216" s="1081" t="s">
        <v>242</v>
      </c>
      <c r="L216" s="1082" t="s">
        <v>425</v>
      </c>
      <c r="M216" s="2902" t="s">
        <v>2615</v>
      </c>
      <c r="N216" s="2902" t="s">
        <v>1341</v>
      </c>
      <c r="O216" s="2901" t="s">
        <v>4415</v>
      </c>
      <c r="P216" s="586" t="s">
        <v>2238</v>
      </c>
      <c r="Q216" s="301"/>
      <c r="R216" s="177"/>
      <c r="S216" s="403"/>
      <c r="T216" s="525" t="s">
        <v>2579</v>
      </c>
      <c r="U216" s="525" t="s">
        <v>2498</v>
      </c>
      <c r="W216" s="446" t="s">
        <v>38</v>
      </c>
      <c r="X216" s="446" t="s">
        <v>3410</v>
      </c>
      <c r="Z216" s="446"/>
      <c r="AA216" s="28"/>
      <c r="AB216" s="28"/>
      <c r="AC216" s="997"/>
      <c r="AD216" s="536"/>
    </row>
    <row r="217" spans="2:30" ht="10.5" customHeight="1">
      <c r="B217" s="292"/>
      <c r="C217" s="394" t="s">
        <v>776</v>
      </c>
      <c r="D217" s="460">
        <v>44800</v>
      </c>
      <c r="E217" s="292"/>
      <c r="F217" s="587"/>
      <c r="G217" s="1079" t="s">
        <v>671</v>
      </c>
      <c r="H217" s="1079" t="s">
        <v>1222</v>
      </c>
      <c r="I217" s="1080" t="s">
        <v>11</v>
      </c>
      <c r="J217" s="1080" t="s">
        <v>2629</v>
      </c>
      <c r="K217" s="1081" t="s">
        <v>2597</v>
      </c>
      <c r="L217" s="1082" t="s">
        <v>426</v>
      </c>
      <c r="M217" s="2902" t="s">
        <v>1206</v>
      </c>
      <c r="N217" s="2902" t="s">
        <v>1337</v>
      </c>
      <c r="O217" s="2901" t="s">
        <v>4416</v>
      </c>
      <c r="P217" s="586" t="s">
        <v>2240</v>
      </c>
      <c r="Q217" s="301"/>
      <c r="R217" s="177"/>
      <c r="S217" s="403"/>
      <c r="T217" s="525" t="s">
        <v>2239</v>
      </c>
      <c r="U217" s="525" t="s">
        <v>1678</v>
      </c>
      <c r="W217" s="446" t="s">
        <v>1982</v>
      </c>
      <c r="X217" s="446" t="s">
        <v>3410</v>
      </c>
      <c r="Z217" s="446"/>
      <c r="AA217" s="28"/>
      <c r="AB217" s="28"/>
      <c r="AC217" s="997"/>
      <c r="AD217" s="536"/>
    </row>
    <row r="218" spans="2:30" ht="10.5" customHeight="1">
      <c r="B218" s="292"/>
      <c r="C218" s="394" t="s">
        <v>1644</v>
      </c>
      <c r="D218" s="460">
        <v>41800</v>
      </c>
      <c r="E218" s="292"/>
      <c r="F218" s="587"/>
      <c r="G218" s="1079" t="s">
        <v>672</v>
      </c>
      <c r="H218" s="1079" t="s">
        <v>1322</v>
      </c>
      <c r="I218" s="1080" t="s">
        <v>673</v>
      </c>
      <c r="J218" s="1080" t="s">
        <v>2628</v>
      </c>
      <c r="K218" s="1081" t="s">
        <v>243</v>
      </c>
      <c r="L218" s="1082" t="s">
        <v>425</v>
      </c>
      <c r="M218" s="2902" t="s">
        <v>2615</v>
      </c>
      <c r="N218" s="2902" t="s">
        <v>1216</v>
      </c>
      <c r="O218" s="2901" t="s">
        <v>4417</v>
      </c>
      <c r="P218" s="586" t="s">
        <v>689</v>
      </c>
      <c r="Q218" s="301"/>
      <c r="R218" s="177"/>
      <c r="S218" s="403"/>
      <c r="T218" s="525" t="s">
        <v>2241</v>
      </c>
      <c r="U218" s="525" t="s">
        <v>2600</v>
      </c>
      <c r="W218" s="446" t="s">
        <v>337</v>
      </c>
      <c r="X218" s="446" t="s">
        <v>3410</v>
      </c>
      <c r="Z218" s="446"/>
      <c r="AA218" s="28"/>
      <c r="AB218" s="28"/>
      <c r="AC218" s="997"/>
      <c r="AD218" s="536"/>
    </row>
    <row r="219" spans="2:30" ht="10.5" customHeight="1">
      <c r="B219" s="292"/>
      <c r="C219" s="394" t="s">
        <v>1646</v>
      </c>
      <c r="D219" s="460">
        <v>39700</v>
      </c>
      <c r="E219" s="292"/>
      <c r="F219" s="587"/>
      <c r="G219" s="1079" t="s">
        <v>674</v>
      </c>
      <c r="H219" s="1079" t="s">
        <v>1222</v>
      </c>
      <c r="I219" s="1080" t="s">
        <v>675</v>
      </c>
      <c r="J219" s="1080" t="s">
        <v>2628</v>
      </c>
      <c r="K219" s="1081" t="s">
        <v>405</v>
      </c>
      <c r="L219" s="1082" t="s">
        <v>425</v>
      </c>
      <c r="M219" s="2902" t="s">
        <v>2615</v>
      </c>
      <c r="N219" s="2902" t="s">
        <v>1794</v>
      </c>
      <c r="O219" s="2901" t="s">
        <v>4418</v>
      </c>
      <c r="P219" s="586" t="s">
        <v>796</v>
      </c>
      <c r="Q219" s="301"/>
      <c r="R219" s="177"/>
      <c r="S219" s="403"/>
      <c r="T219" s="525" t="s">
        <v>690</v>
      </c>
      <c r="U219" s="525" t="s">
        <v>740</v>
      </c>
      <c r="W219" s="446" t="s">
        <v>345</v>
      </c>
      <c r="X219" s="446" t="s">
        <v>3410</v>
      </c>
      <c r="Z219" s="446"/>
      <c r="AA219" s="28"/>
      <c r="AB219" s="28"/>
      <c r="AC219" s="997"/>
      <c r="AD219" s="536"/>
    </row>
    <row r="220" spans="2:30" ht="10.5" customHeight="1">
      <c r="B220" s="292"/>
      <c r="C220" s="394" t="s">
        <v>2057</v>
      </c>
      <c r="D220" s="460">
        <v>59300</v>
      </c>
      <c r="E220" s="292"/>
      <c r="F220" s="587"/>
      <c r="G220" s="1079" t="s">
        <v>676</v>
      </c>
      <c r="H220" s="1079" t="s">
        <v>1322</v>
      </c>
      <c r="I220" s="1080" t="s">
        <v>677</v>
      </c>
      <c r="J220" s="1080" t="s">
        <v>2628</v>
      </c>
      <c r="K220" s="1081" t="s">
        <v>406</v>
      </c>
      <c r="L220" s="1082" t="s">
        <v>425</v>
      </c>
      <c r="M220" s="2902" t="s">
        <v>2615</v>
      </c>
      <c r="N220" s="2902" t="s">
        <v>167</v>
      </c>
      <c r="O220" s="2901" t="s">
        <v>4419</v>
      </c>
      <c r="P220" s="586" t="s">
        <v>2286</v>
      </c>
      <c r="Q220" s="301"/>
      <c r="R220" s="177"/>
      <c r="S220" s="403"/>
      <c r="T220" s="525" t="s">
        <v>2285</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1322</v>
      </c>
      <c r="I221" s="1083" t="s">
        <v>771</v>
      </c>
      <c r="J221" s="1083" t="s">
        <v>2629</v>
      </c>
      <c r="K221" s="1081" t="s">
        <v>2592</v>
      </c>
      <c r="L221" s="1082" t="s">
        <v>426</v>
      </c>
      <c r="M221" s="2900" t="s">
        <v>1206</v>
      </c>
      <c r="N221" s="2900" t="s">
        <v>1216</v>
      </c>
      <c r="O221" s="2901" t="s">
        <v>4420</v>
      </c>
      <c r="P221" s="586" t="s">
        <v>2315</v>
      </c>
      <c r="Q221" s="301"/>
      <c r="R221" s="177"/>
      <c r="S221" s="403"/>
      <c r="T221" s="525" t="s">
        <v>2346</v>
      </c>
      <c r="U221" s="525" t="s">
        <v>886</v>
      </c>
      <c r="W221" s="446" t="s">
        <v>2170</v>
      </c>
      <c r="X221" s="446" t="s">
        <v>3410</v>
      </c>
      <c r="Z221" s="446"/>
      <c r="AA221" s="28"/>
      <c r="AB221" s="28"/>
      <c r="AC221" s="997"/>
      <c r="AD221" s="536"/>
    </row>
    <row r="222" spans="2:30" ht="10.5" customHeight="1">
      <c r="B222" s="292"/>
      <c r="C222" s="393" t="s">
        <v>2601</v>
      </c>
      <c r="D222" s="460">
        <v>58400</v>
      </c>
      <c r="E222" s="292"/>
      <c r="F222" s="587"/>
      <c r="G222" s="1079" t="s">
        <v>123</v>
      </c>
      <c r="H222" s="1079" t="s">
        <v>1322</v>
      </c>
      <c r="I222" s="1080" t="s">
        <v>124</v>
      </c>
      <c r="J222" s="1080" t="s">
        <v>2628</v>
      </c>
      <c r="K222" s="1081" t="s">
        <v>407</v>
      </c>
      <c r="L222" s="1082" t="s">
        <v>425</v>
      </c>
      <c r="M222" s="2902" t="s">
        <v>2615</v>
      </c>
      <c r="N222" s="2902" t="s">
        <v>167</v>
      </c>
      <c r="O222" s="2901" t="s">
        <v>4421</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2603</v>
      </c>
      <c r="D223" s="460">
        <v>43500</v>
      </c>
      <c r="E223" s="292"/>
      <c r="F223" s="587"/>
      <c r="G223" s="1079" t="s">
        <v>313</v>
      </c>
      <c r="H223" s="1079" t="s">
        <v>1322</v>
      </c>
      <c r="I223" s="1080" t="s">
        <v>1232</v>
      </c>
      <c r="J223" s="1080" t="s">
        <v>2629</v>
      </c>
      <c r="K223" s="1081" t="s">
        <v>408</v>
      </c>
      <c r="L223" s="1082" t="s">
        <v>426</v>
      </c>
      <c r="M223" s="2902" t="s">
        <v>1206</v>
      </c>
      <c r="N223" s="2902" t="s">
        <v>1216</v>
      </c>
      <c r="O223" s="2901" t="s">
        <v>4422</v>
      </c>
      <c r="P223" s="586" t="s">
        <v>638</v>
      </c>
      <c r="Q223" s="301"/>
      <c r="R223" s="177"/>
      <c r="S223" s="403"/>
      <c r="T223" s="525" t="s">
        <v>639</v>
      </c>
      <c r="U223" s="525" t="s">
        <v>2608</v>
      </c>
      <c r="W223" s="446" t="s">
        <v>384</v>
      </c>
      <c r="X223" s="446" t="s">
        <v>3410</v>
      </c>
      <c r="Z223" s="446"/>
      <c r="AA223" s="28"/>
      <c r="AB223" s="28"/>
      <c r="AC223" s="997"/>
      <c r="AD223" s="536"/>
    </row>
    <row r="224" spans="2:30" ht="10.5" customHeight="1">
      <c r="B224" s="292"/>
      <c r="C224" s="394" t="s">
        <v>1101</v>
      </c>
      <c r="D224" s="460">
        <v>51700</v>
      </c>
      <c r="E224" s="292"/>
      <c r="F224" s="587"/>
      <c r="G224" s="1084" t="s">
        <v>314</v>
      </c>
      <c r="H224" s="1079" t="s">
        <v>1322</v>
      </c>
      <c r="I224" s="1080" t="s">
        <v>315</v>
      </c>
      <c r="J224" s="1080" t="s">
        <v>2628</v>
      </c>
      <c r="K224" s="1081" t="s">
        <v>409</v>
      </c>
      <c r="L224" s="1082" t="s">
        <v>425</v>
      </c>
      <c r="M224" s="2902" t="s">
        <v>2615</v>
      </c>
      <c r="N224" s="2902" t="s">
        <v>1331</v>
      </c>
      <c r="O224" s="2901" t="s">
        <v>4423</v>
      </c>
      <c r="P224" s="586" t="s">
        <v>306</v>
      </c>
      <c r="Q224" s="301"/>
      <c r="R224" s="177"/>
      <c r="S224" s="403"/>
      <c r="T224" s="525" t="s">
        <v>307</v>
      </c>
      <c r="U224" s="525" t="s">
        <v>316</v>
      </c>
      <c r="W224" s="446" t="s">
        <v>881</v>
      </c>
      <c r="X224" s="446" t="s">
        <v>3410</v>
      </c>
      <c r="Z224" s="446"/>
      <c r="AA224" s="28"/>
      <c r="AB224" s="28"/>
      <c r="AC224" s="997"/>
      <c r="AD224" s="536"/>
    </row>
    <row r="225" spans="2:30" ht="10.5" customHeight="1">
      <c r="B225" s="292"/>
      <c r="C225" s="394" t="s">
        <v>1104</v>
      </c>
      <c r="D225" s="460">
        <v>51200</v>
      </c>
      <c r="E225" s="292"/>
      <c r="F225" s="587"/>
      <c r="G225" s="1079" t="s">
        <v>316</v>
      </c>
      <c r="H225" s="1079" t="s">
        <v>1322</v>
      </c>
      <c r="I225" s="1083" t="s">
        <v>773</v>
      </c>
      <c r="J225" s="1083" t="s">
        <v>2629</v>
      </c>
      <c r="K225" s="1081" t="s">
        <v>410</v>
      </c>
      <c r="L225" s="1082" t="s">
        <v>426</v>
      </c>
      <c r="M225" s="2900" t="s">
        <v>2615</v>
      </c>
      <c r="N225" s="2900" t="s">
        <v>1216</v>
      </c>
      <c r="O225" s="2901" t="s">
        <v>4424</v>
      </c>
      <c r="P225" s="586" t="s">
        <v>2384</v>
      </c>
      <c r="Q225" s="301"/>
      <c r="R225" s="177"/>
      <c r="S225" s="403"/>
      <c r="T225" s="525" t="s">
        <v>2385</v>
      </c>
      <c r="U225" s="525" t="s">
        <v>198</v>
      </c>
      <c r="W225" s="446" t="s">
        <v>1938</v>
      </c>
      <c r="X225" s="446" t="s">
        <v>3410</v>
      </c>
      <c r="Z225" s="446"/>
      <c r="AA225" s="28"/>
      <c r="AB225" s="28"/>
      <c r="AC225" s="997"/>
      <c r="AD225" s="536"/>
    </row>
    <row r="226" spans="2:30" ht="10.5" customHeight="1">
      <c r="B226" s="292"/>
      <c r="C226" s="394" t="s">
        <v>1107</v>
      </c>
      <c r="D226" s="460">
        <v>49100</v>
      </c>
      <c r="E226" s="292"/>
      <c r="F226" s="587"/>
      <c r="G226" s="1079" t="s">
        <v>317</v>
      </c>
      <c r="H226" s="1079" t="s">
        <v>1322</v>
      </c>
      <c r="I226" s="1083" t="s">
        <v>162</v>
      </c>
      <c r="J226" s="1083" t="s">
        <v>2629</v>
      </c>
      <c r="K226" s="1081" t="s">
        <v>1694</v>
      </c>
      <c r="L226" s="1082" t="s">
        <v>426</v>
      </c>
      <c r="M226" s="2900" t="s">
        <v>2615</v>
      </c>
      <c r="N226" s="2900" t="s">
        <v>162</v>
      </c>
      <c r="O226" s="2901" t="s">
        <v>4425</v>
      </c>
      <c r="P226" s="586" t="s">
        <v>2407</v>
      </c>
      <c r="Q226" s="301"/>
      <c r="R226" s="177"/>
      <c r="S226" s="403"/>
      <c r="T226" s="525" t="s">
        <v>2408</v>
      </c>
      <c r="U226" s="525" t="s">
        <v>1677</v>
      </c>
      <c r="W226" s="446" t="s">
        <v>1942</v>
      </c>
      <c r="X226" s="446" t="s">
        <v>3410</v>
      </c>
      <c r="Z226" s="446"/>
      <c r="AA226" s="28"/>
      <c r="AB226" s="28"/>
      <c r="AC226" s="997"/>
      <c r="AD226" s="536"/>
    </row>
    <row r="227" spans="2:30" ht="10.5" customHeight="1">
      <c r="B227" s="292"/>
      <c r="C227" s="393" t="s">
        <v>1109</v>
      </c>
      <c r="D227" s="460">
        <v>47200</v>
      </c>
      <c r="E227" s="292"/>
      <c r="F227" s="587"/>
      <c r="G227" s="1079" t="s">
        <v>318</v>
      </c>
      <c r="H227" s="1079" t="s">
        <v>1322</v>
      </c>
      <c r="I227" s="1080" t="s">
        <v>319</v>
      </c>
      <c r="J227" s="1080" t="s">
        <v>2628</v>
      </c>
      <c r="K227" s="1081" t="s">
        <v>411</v>
      </c>
      <c r="L227" s="1082" t="s">
        <v>425</v>
      </c>
      <c r="M227" s="2902" t="s">
        <v>2615</v>
      </c>
      <c r="N227" s="2902" t="s">
        <v>167</v>
      </c>
      <c r="O227" s="2901" t="s">
        <v>4426</v>
      </c>
      <c r="P227" s="586" t="s">
        <v>2409</v>
      </c>
      <c r="Q227" s="301"/>
      <c r="R227" s="177"/>
      <c r="S227" s="403"/>
      <c r="T227" s="525" t="s">
        <v>2866</v>
      </c>
      <c r="U227" s="525" t="s">
        <v>633</v>
      </c>
      <c r="W227" s="446" t="s">
        <v>723</v>
      </c>
      <c r="X227" s="446" t="s">
        <v>3410</v>
      </c>
      <c r="Z227" s="446"/>
      <c r="AA227" s="28"/>
      <c r="AB227" s="28"/>
      <c r="AC227" s="997"/>
      <c r="AD227" s="536"/>
    </row>
    <row r="228" spans="2:30" ht="10.5" customHeight="1">
      <c r="B228" s="292"/>
      <c r="C228" s="394" t="s">
        <v>1111</v>
      </c>
      <c r="D228" s="460">
        <v>53900</v>
      </c>
      <c r="E228" s="292"/>
      <c r="F228" s="587"/>
      <c r="G228" s="1079" t="s">
        <v>320</v>
      </c>
      <c r="H228" s="1079" t="s">
        <v>1322</v>
      </c>
      <c r="I228" s="1083" t="s">
        <v>771</v>
      </c>
      <c r="J228" s="1083" t="s">
        <v>2629</v>
      </c>
      <c r="K228" s="1081" t="s">
        <v>2592</v>
      </c>
      <c r="L228" s="1082" t="s">
        <v>426</v>
      </c>
      <c r="M228" s="2900" t="s">
        <v>1206</v>
      </c>
      <c r="N228" s="2900" t="s">
        <v>1216</v>
      </c>
      <c r="O228" s="2901" t="s">
        <v>4427</v>
      </c>
      <c r="P228" s="586" t="s">
        <v>2410</v>
      </c>
      <c r="Q228" s="301"/>
      <c r="R228" s="177"/>
      <c r="S228" s="403"/>
      <c r="T228" s="525" t="s">
        <v>634</v>
      </c>
      <c r="U228" s="525" t="s">
        <v>1338</v>
      </c>
      <c r="W228" s="446" t="s">
        <v>1149</v>
      </c>
      <c r="X228" s="446" t="s">
        <v>3410</v>
      </c>
      <c r="Z228" s="446"/>
      <c r="AA228" s="28"/>
      <c r="AB228" s="28"/>
      <c r="AC228" s="997"/>
      <c r="AD228" s="536"/>
    </row>
    <row r="229" spans="2:30" ht="10.5" customHeight="1">
      <c r="B229" s="292"/>
      <c r="C229" s="394" t="s">
        <v>1113</v>
      </c>
      <c r="D229" s="460">
        <v>35000</v>
      </c>
      <c r="E229" s="292"/>
      <c r="F229" s="587"/>
      <c r="G229" s="1079" t="s">
        <v>321</v>
      </c>
      <c r="H229" s="1079" t="s">
        <v>1322</v>
      </c>
      <c r="I229" s="1083" t="s">
        <v>771</v>
      </c>
      <c r="J229" s="1083" t="s">
        <v>2629</v>
      </c>
      <c r="K229" s="1081" t="s">
        <v>2592</v>
      </c>
      <c r="L229" s="1082" t="s">
        <v>426</v>
      </c>
      <c r="M229" s="2900" t="s">
        <v>1206</v>
      </c>
      <c r="N229" s="2900" t="s">
        <v>1216</v>
      </c>
      <c r="O229" s="2901" t="s">
        <v>4428</v>
      </c>
      <c r="P229" s="586" t="s">
        <v>2376</v>
      </c>
      <c r="Q229" s="301"/>
      <c r="R229" s="177"/>
      <c r="S229" s="403"/>
      <c r="T229" s="525" t="s">
        <v>1335</v>
      </c>
      <c r="U229" s="525" t="s">
        <v>662</v>
      </c>
      <c r="W229" s="446" t="s">
        <v>1151</v>
      </c>
      <c r="X229" s="446" t="s">
        <v>3410</v>
      </c>
      <c r="Z229" s="446"/>
      <c r="AA229" s="28"/>
      <c r="AB229" s="28"/>
      <c r="AC229" s="997"/>
      <c r="AD229" s="536"/>
    </row>
    <row r="230" spans="2:30" ht="10.5" customHeight="1">
      <c r="B230" s="292"/>
      <c r="C230" s="394" t="s">
        <v>1115</v>
      </c>
      <c r="D230" s="460">
        <v>49000</v>
      </c>
      <c r="E230" s="292"/>
      <c r="F230" s="587"/>
      <c r="G230" s="1079" t="s">
        <v>322</v>
      </c>
      <c r="H230" s="1079" t="s">
        <v>1322</v>
      </c>
      <c r="I230" s="1083" t="s">
        <v>1721</v>
      </c>
      <c r="J230" s="1083" t="s">
        <v>2629</v>
      </c>
      <c r="K230" s="1081" t="s">
        <v>412</v>
      </c>
      <c r="L230" s="1082" t="s">
        <v>426</v>
      </c>
      <c r="M230" s="2902" t="s">
        <v>1206</v>
      </c>
      <c r="N230" s="2902" t="s">
        <v>1331</v>
      </c>
      <c r="O230" s="2901" t="s">
        <v>4429</v>
      </c>
      <c r="P230" s="586" t="s">
        <v>10</v>
      </c>
      <c r="Q230" s="301"/>
      <c r="R230" s="177"/>
      <c r="S230" s="403"/>
      <c r="T230" s="525" t="s">
        <v>2377</v>
      </c>
      <c r="U230" s="525" t="s">
        <v>2502</v>
      </c>
      <c r="W230" s="446" t="s">
        <v>1153</v>
      </c>
      <c r="X230" s="446" t="s">
        <v>3410</v>
      </c>
      <c r="Z230" s="446"/>
      <c r="AA230" s="28"/>
      <c r="AB230" s="28"/>
      <c r="AC230" s="997"/>
      <c r="AD230" s="536"/>
    </row>
    <row r="231" spans="2:30" ht="10.5" customHeight="1">
      <c r="B231" s="292"/>
      <c r="C231" s="393" t="s">
        <v>1117</v>
      </c>
      <c r="D231" s="460">
        <v>34600</v>
      </c>
      <c r="E231" s="292"/>
      <c r="F231" s="587"/>
      <c r="G231" s="1079" t="s">
        <v>323</v>
      </c>
      <c r="H231" s="1079" t="s">
        <v>1222</v>
      </c>
      <c r="I231" s="1080" t="s">
        <v>324</v>
      </c>
      <c r="J231" s="1080" t="s">
        <v>2628</v>
      </c>
      <c r="K231" s="1081" t="s">
        <v>653</v>
      </c>
      <c r="L231" s="1082" t="s">
        <v>425</v>
      </c>
      <c r="M231" s="2902" t="s">
        <v>2615</v>
      </c>
      <c r="N231" s="2902" t="s">
        <v>1794</v>
      </c>
      <c r="O231" s="2901" t="s">
        <v>4430</v>
      </c>
      <c r="P231" s="586" t="s">
        <v>12</v>
      </c>
      <c r="Q231" s="301"/>
      <c r="R231" s="177"/>
      <c r="S231" s="403"/>
      <c r="T231" s="525" t="s">
        <v>11</v>
      </c>
      <c r="U231" s="525" t="s">
        <v>671</v>
      </c>
      <c r="W231" s="446" t="s">
        <v>2530</v>
      </c>
      <c r="X231" s="446" t="s">
        <v>3410</v>
      </c>
      <c r="Z231" s="446"/>
      <c r="AA231" s="28"/>
      <c r="AB231" s="28"/>
      <c r="AC231" s="997"/>
      <c r="AD231" s="536"/>
    </row>
    <row r="232" spans="2:30" ht="10.5" customHeight="1">
      <c r="B232" s="292"/>
      <c r="C232" s="393" t="s">
        <v>2283</v>
      </c>
      <c r="D232" s="460">
        <v>51900</v>
      </c>
      <c r="E232" s="292"/>
      <c r="F232" s="587"/>
      <c r="G232" s="1079" t="s">
        <v>325</v>
      </c>
      <c r="H232" s="1079" t="s">
        <v>1322</v>
      </c>
      <c r="I232" s="1080" t="s">
        <v>326</v>
      </c>
      <c r="J232" s="1080" t="s">
        <v>2628</v>
      </c>
      <c r="K232" s="1081" t="s">
        <v>654</v>
      </c>
      <c r="L232" s="1082" t="s">
        <v>425</v>
      </c>
      <c r="M232" s="2902" t="s">
        <v>2615</v>
      </c>
      <c r="N232" s="2902" t="s">
        <v>1216</v>
      </c>
      <c r="O232" s="2901" t="s">
        <v>4431</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1337</v>
      </c>
      <c r="D233" s="460">
        <v>64900</v>
      </c>
      <c r="E233" s="292"/>
      <c r="F233" s="587"/>
      <c r="G233" s="1079" t="s">
        <v>327</v>
      </c>
      <c r="H233" s="1079" t="s">
        <v>1322</v>
      </c>
      <c r="I233" s="1083" t="s">
        <v>771</v>
      </c>
      <c r="J233" s="1083" t="s">
        <v>2629</v>
      </c>
      <c r="K233" s="1081" t="s">
        <v>2592</v>
      </c>
      <c r="L233" s="1082" t="s">
        <v>426</v>
      </c>
      <c r="M233" s="2900" t="s">
        <v>1206</v>
      </c>
      <c r="N233" s="2900" t="s">
        <v>1216</v>
      </c>
      <c r="O233" s="2901" t="s">
        <v>4432</v>
      </c>
      <c r="P233" s="586" t="s">
        <v>59</v>
      </c>
      <c r="Q233" s="301"/>
      <c r="R233" s="177"/>
      <c r="S233" s="403"/>
      <c r="T233" s="525" t="s">
        <v>58</v>
      </c>
      <c r="U233" s="525" t="s">
        <v>2600</v>
      </c>
      <c r="W233" s="446" t="s">
        <v>303</v>
      </c>
      <c r="X233" s="446" t="s">
        <v>3410</v>
      </c>
      <c r="Z233" s="446"/>
      <c r="AA233" s="28"/>
      <c r="AB233" s="28"/>
      <c r="AC233" s="997"/>
      <c r="AD233" s="536"/>
    </row>
    <row r="234" spans="2:30" ht="10.5" customHeight="1">
      <c r="B234" s="292"/>
      <c r="C234" s="394" t="s">
        <v>2182</v>
      </c>
      <c r="D234" s="460">
        <v>51000</v>
      </c>
      <c r="E234" s="292"/>
      <c r="F234" s="587"/>
      <c r="G234" s="1079" t="s">
        <v>328</v>
      </c>
      <c r="H234" s="1079" t="s">
        <v>1222</v>
      </c>
      <c r="I234" s="1080" t="s">
        <v>329</v>
      </c>
      <c r="J234" s="1080" t="s">
        <v>2628</v>
      </c>
      <c r="K234" s="1081" t="s">
        <v>655</v>
      </c>
      <c r="L234" s="1082" t="s">
        <v>425</v>
      </c>
      <c r="M234" s="2902" t="s">
        <v>2615</v>
      </c>
      <c r="N234" s="2902" t="s">
        <v>1708</v>
      </c>
      <c r="O234" s="2901" t="s">
        <v>4433</v>
      </c>
      <c r="P234" s="586" t="s">
        <v>61</v>
      </c>
      <c r="Q234" s="301"/>
      <c r="R234" s="177"/>
      <c r="S234" s="403"/>
      <c r="T234" s="525" t="s">
        <v>60</v>
      </c>
      <c r="U234" s="525" t="s">
        <v>359</v>
      </c>
      <c r="W234" s="446" t="s">
        <v>1838</v>
      </c>
      <c r="X234" s="446" t="s">
        <v>3410</v>
      </c>
      <c r="Z234" s="446"/>
      <c r="AA234" s="28"/>
      <c r="AB234" s="28"/>
      <c r="AC234" s="997"/>
      <c r="AD234" s="536"/>
    </row>
    <row r="235" spans="2:30" ht="10.5" customHeight="1">
      <c r="B235" s="292"/>
      <c r="C235" s="394" t="s">
        <v>2184</v>
      </c>
      <c r="D235" s="460">
        <v>46500</v>
      </c>
      <c r="E235" s="292"/>
      <c r="F235" s="587"/>
      <c r="G235" s="1079" t="s">
        <v>330</v>
      </c>
      <c r="H235" s="1079" t="s">
        <v>1322</v>
      </c>
      <c r="I235" s="1080" t="s">
        <v>331</v>
      </c>
      <c r="J235" s="1080" t="s">
        <v>2628</v>
      </c>
      <c r="K235" s="1081" t="s">
        <v>266</v>
      </c>
      <c r="L235" s="1082" t="s">
        <v>425</v>
      </c>
      <c r="M235" s="2902" t="s">
        <v>2615</v>
      </c>
      <c r="N235" s="2902" t="s">
        <v>1341</v>
      </c>
      <c r="O235" s="2901" t="s">
        <v>4434</v>
      </c>
      <c r="P235" s="586" t="s">
        <v>353</v>
      </c>
      <c r="Q235" s="301"/>
      <c r="R235" s="177"/>
      <c r="S235" s="403"/>
      <c r="T235" s="525" t="s">
        <v>62</v>
      </c>
      <c r="U235" s="525" t="s">
        <v>122</v>
      </c>
      <c r="W235" s="446" t="s">
        <v>1840</v>
      </c>
      <c r="X235" s="446" t="s">
        <v>3410</v>
      </c>
      <c r="Z235" s="446"/>
      <c r="AA235" s="28"/>
      <c r="AB235" s="28"/>
      <c r="AC235" s="997"/>
      <c r="AD235" s="536"/>
    </row>
    <row r="236" spans="2:30" ht="10.5" customHeight="1">
      <c r="B236" s="292"/>
      <c r="C236" s="394" t="s">
        <v>2186</v>
      </c>
      <c r="D236" s="460">
        <v>43600</v>
      </c>
      <c r="E236" s="292"/>
      <c r="F236" s="587"/>
      <c r="G236" s="1079" t="s">
        <v>332</v>
      </c>
      <c r="H236" s="1079" t="s">
        <v>1222</v>
      </c>
      <c r="I236" s="1080" t="s">
        <v>333</v>
      </c>
      <c r="J236" s="1080" t="s">
        <v>2628</v>
      </c>
      <c r="K236" s="1081" t="s">
        <v>267</v>
      </c>
      <c r="L236" s="1082" t="s">
        <v>425</v>
      </c>
      <c r="M236" s="2902" t="s">
        <v>2615</v>
      </c>
      <c r="N236" s="2902" t="s">
        <v>1341</v>
      </c>
      <c r="O236" s="2901" t="s">
        <v>4435</v>
      </c>
      <c r="P236" s="586" t="s">
        <v>355</v>
      </c>
      <c r="Q236" s="301"/>
      <c r="R236" s="177"/>
      <c r="S236" s="403"/>
      <c r="T236" s="525" t="s">
        <v>354</v>
      </c>
      <c r="U236" s="525" t="s">
        <v>2200</v>
      </c>
      <c r="W236" s="446" t="s">
        <v>1909</v>
      </c>
      <c r="X236" s="446" t="s">
        <v>3410</v>
      </c>
      <c r="Z236" s="446"/>
      <c r="AA236" s="28"/>
      <c r="AB236" s="28"/>
      <c r="AC236" s="997"/>
      <c r="AD236" s="536"/>
    </row>
    <row r="237" spans="2:30" ht="10.5" customHeight="1">
      <c r="B237" s="292"/>
      <c r="C237" s="394" t="s">
        <v>2189</v>
      </c>
      <c r="D237" s="460">
        <v>52600</v>
      </c>
      <c r="E237" s="292"/>
      <c r="F237" s="587"/>
      <c r="G237" s="1079" t="s">
        <v>334</v>
      </c>
      <c r="H237" s="1079" t="s">
        <v>1322</v>
      </c>
      <c r="I237" s="1080" t="s">
        <v>335</v>
      </c>
      <c r="J237" s="1080" t="s">
        <v>2628</v>
      </c>
      <c r="K237" s="1081" t="s">
        <v>268</v>
      </c>
      <c r="L237" s="1082" t="s">
        <v>425</v>
      </c>
      <c r="M237" s="2902" t="s">
        <v>2615</v>
      </c>
      <c r="N237" s="2902" t="s">
        <v>1331</v>
      </c>
      <c r="O237" s="2901" t="s">
        <v>4436</v>
      </c>
      <c r="P237" s="586" t="s">
        <v>357</v>
      </c>
      <c r="Q237" s="301"/>
      <c r="R237" s="177"/>
      <c r="S237" s="403"/>
      <c r="T237" s="525" t="s">
        <v>356</v>
      </c>
      <c r="U237" s="525" t="s">
        <v>961</v>
      </c>
      <c r="W237" s="446" t="s">
        <v>2259</v>
      </c>
      <c r="X237" s="446" t="s">
        <v>3410</v>
      </c>
      <c r="Z237" s="446"/>
      <c r="AA237" s="28"/>
      <c r="AB237" s="28"/>
      <c r="AC237" s="997"/>
      <c r="AD237" s="536"/>
    </row>
    <row r="238" spans="2:30" ht="10.5" customHeight="1">
      <c r="B238" s="292"/>
      <c r="C238" s="393" t="s">
        <v>2191</v>
      </c>
      <c r="D238" s="460">
        <v>29500</v>
      </c>
      <c r="E238" s="292"/>
      <c r="F238" s="587"/>
      <c r="G238" s="1079" t="s">
        <v>430</v>
      </c>
      <c r="H238" s="1079" t="s">
        <v>1322</v>
      </c>
      <c r="I238" s="1083" t="s">
        <v>1331</v>
      </c>
      <c r="J238" s="1083" t="s">
        <v>2629</v>
      </c>
      <c r="K238" s="1081" t="s">
        <v>2595</v>
      </c>
      <c r="L238" s="1082" t="s">
        <v>426</v>
      </c>
      <c r="M238" s="2900" t="s">
        <v>2615</v>
      </c>
      <c r="N238" s="2900" t="s">
        <v>1331</v>
      </c>
      <c r="O238" s="2901" t="s">
        <v>4437</v>
      </c>
      <c r="P238" s="586" t="s">
        <v>2304</v>
      </c>
      <c r="Q238" s="301"/>
      <c r="R238" s="177"/>
      <c r="S238" s="403"/>
      <c r="T238" s="525" t="s">
        <v>358</v>
      </c>
      <c r="U238" s="525" t="s">
        <v>1100</v>
      </c>
      <c r="W238" s="446" t="s">
        <v>422</v>
      </c>
      <c r="X238" s="446" t="s">
        <v>3410</v>
      </c>
      <c r="Z238" s="446"/>
      <c r="AA238" s="28"/>
      <c r="AB238" s="28"/>
      <c r="AC238" s="997"/>
      <c r="AD238" s="536"/>
    </row>
    <row r="239" spans="2:30" ht="10.5" customHeight="1">
      <c r="B239" s="292"/>
      <c r="C239" s="393" t="s">
        <v>2193</v>
      </c>
      <c r="D239" s="460">
        <v>43200</v>
      </c>
      <c r="E239" s="292"/>
      <c r="F239" s="587"/>
      <c r="G239" s="1079" t="s">
        <v>431</v>
      </c>
      <c r="H239" s="1079" t="s">
        <v>1322</v>
      </c>
      <c r="I239" s="1083" t="s">
        <v>774</v>
      </c>
      <c r="J239" s="1083" t="s">
        <v>2629</v>
      </c>
      <c r="K239" s="1081" t="s">
        <v>269</v>
      </c>
      <c r="L239" s="1082" t="s">
        <v>426</v>
      </c>
      <c r="M239" s="2900" t="s">
        <v>2615</v>
      </c>
      <c r="N239" s="2900" t="s">
        <v>1216</v>
      </c>
      <c r="O239" s="2901" t="s">
        <v>4438</v>
      </c>
      <c r="P239" s="586" t="s">
        <v>2306</v>
      </c>
      <c r="Q239" s="301"/>
      <c r="R239" s="177"/>
      <c r="S239" s="403"/>
      <c r="T239" s="525" t="s">
        <v>635</v>
      </c>
      <c r="U239" s="525" t="s">
        <v>1464</v>
      </c>
      <c r="W239" s="446" t="s">
        <v>2296</v>
      </c>
      <c r="X239" s="446" t="s">
        <v>3410</v>
      </c>
      <c r="Z239" s="446"/>
      <c r="AA239" s="28"/>
      <c r="AB239" s="28"/>
      <c r="AC239" s="997"/>
      <c r="AD239" s="536"/>
    </row>
    <row r="240" spans="2:30" ht="10.5" customHeight="1">
      <c r="B240" s="292"/>
      <c r="C240" s="394" t="s">
        <v>2195</v>
      </c>
      <c r="D240" s="460">
        <v>42800</v>
      </c>
      <c r="E240" s="292"/>
      <c r="F240" s="587"/>
      <c r="G240" s="1079" t="s">
        <v>1463</v>
      </c>
      <c r="H240" s="1079" t="s">
        <v>1222</v>
      </c>
      <c r="I240" s="1080" t="s">
        <v>1708</v>
      </c>
      <c r="J240" s="1080" t="s">
        <v>2629</v>
      </c>
      <c r="K240" s="1081" t="s">
        <v>2598</v>
      </c>
      <c r="L240" s="1082" t="s">
        <v>426</v>
      </c>
      <c r="M240" s="2900" t="s">
        <v>2615</v>
      </c>
      <c r="N240" s="2900" t="s">
        <v>1708</v>
      </c>
      <c r="O240" s="2901" t="s">
        <v>4439</v>
      </c>
      <c r="P240" s="586" t="s">
        <v>2307</v>
      </c>
      <c r="Q240" s="301"/>
      <c r="R240" s="177"/>
      <c r="S240" s="403"/>
      <c r="T240" s="525" t="s">
        <v>2305</v>
      </c>
      <c r="U240" s="525" t="s">
        <v>674</v>
      </c>
      <c r="W240" s="446" t="s">
        <v>3400</v>
      </c>
      <c r="X240" s="446" t="s">
        <v>3410</v>
      </c>
      <c r="Z240" s="446"/>
      <c r="AA240" s="28"/>
      <c r="AB240" s="28"/>
      <c r="AC240" s="997"/>
      <c r="AD240" s="536"/>
    </row>
    <row r="241" spans="2:30" ht="10.5" customHeight="1">
      <c r="B241" s="292"/>
      <c r="C241" s="394" t="s">
        <v>2197</v>
      </c>
      <c r="D241" s="460">
        <v>35400</v>
      </c>
      <c r="E241" s="292"/>
      <c r="F241" s="587"/>
      <c r="G241" s="1079" t="s">
        <v>1464</v>
      </c>
      <c r="H241" s="1079" t="s">
        <v>1322</v>
      </c>
      <c r="I241" s="1080" t="s">
        <v>1465</v>
      </c>
      <c r="J241" s="1080" t="s">
        <v>2628</v>
      </c>
      <c r="K241" s="1081" t="s">
        <v>270</v>
      </c>
      <c r="L241" s="1082" t="s">
        <v>425</v>
      </c>
      <c r="M241" s="2902" t="s">
        <v>2615</v>
      </c>
      <c r="N241" s="2902" t="s">
        <v>1331</v>
      </c>
      <c r="O241" s="2901" t="s">
        <v>4440</v>
      </c>
      <c r="P241" s="586" t="s">
        <v>2308</v>
      </c>
      <c r="Q241" s="301"/>
      <c r="R241" s="177"/>
      <c r="S241" s="403"/>
      <c r="T241" s="525" t="s">
        <v>1343</v>
      </c>
      <c r="U241" s="525" t="s">
        <v>672</v>
      </c>
      <c r="W241" s="446" t="s">
        <v>679</v>
      </c>
      <c r="X241" s="446" t="s">
        <v>3410</v>
      </c>
      <c r="Z241" s="446"/>
      <c r="AA241" s="28"/>
      <c r="AB241" s="28"/>
      <c r="AC241" s="997"/>
      <c r="AD241" s="536"/>
    </row>
    <row r="242" spans="2:30" ht="10.5" customHeight="1">
      <c r="B242" s="292"/>
      <c r="C242" s="394" t="s">
        <v>2199</v>
      </c>
      <c r="D242" s="460">
        <v>46700</v>
      </c>
      <c r="E242" s="292"/>
      <c r="F242" s="587"/>
      <c r="G242" s="1079" t="s">
        <v>1466</v>
      </c>
      <c r="H242" s="1079" t="s">
        <v>1222</v>
      </c>
      <c r="I242" s="1083" t="s">
        <v>1794</v>
      </c>
      <c r="J242" s="1083" t="s">
        <v>2629</v>
      </c>
      <c r="K242" s="1081" t="s">
        <v>1170</v>
      </c>
      <c r="L242" s="1082" t="s">
        <v>426</v>
      </c>
      <c r="M242" s="2900" t="s">
        <v>2615</v>
      </c>
      <c r="N242" s="2900" t="s">
        <v>1794</v>
      </c>
      <c r="O242" s="2901" t="s">
        <v>4441</v>
      </c>
      <c r="P242" s="586" t="s">
        <v>1570</v>
      </c>
      <c r="Q242" s="301"/>
      <c r="R242" s="177"/>
      <c r="S242" s="403"/>
      <c r="T242" s="525" t="s">
        <v>2867</v>
      </c>
      <c r="U242" s="525" t="s">
        <v>674</v>
      </c>
      <c r="W242" s="446" t="s">
        <v>2403</v>
      </c>
      <c r="X242" s="446" t="s">
        <v>3410</v>
      </c>
      <c r="Z242" s="446"/>
      <c r="AA242" s="28"/>
      <c r="AB242" s="28"/>
      <c r="AC242" s="997"/>
      <c r="AD242" s="536"/>
    </row>
    <row r="243" spans="2:30" ht="10.5" customHeight="1">
      <c r="B243" s="292"/>
      <c r="C243" s="394" t="s">
        <v>878</v>
      </c>
      <c r="D243" s="460">
        <v>37400</v>
      </c>
      <c r="E243" s="292"/>
      <c r="F243" s="587"/>
      <c r="G243" s="1079" t="s">
        <v>1467</v>
      </c>
      <c r="H243" s="1079" t="s">
        <v>1222</v>
      </c>
      <c r="I243" s="1080" t="s">
        <v>775</v>
      </c>
      <c r="J243" s="1080" t="s">
        <v>2629</v>
      </c>
      <c r="K243" s="1081" t="s">
        <v>271</v>
      </c>
      <c r="L243" s="1082" t="s">
        <v>426</v>
      </c>
      <c r="M243" s="2902" t="s">
        <v>1206</v>
      </c>
      <c r="N243" s="2902" t="s">
        <v>1337</v>
      </c>
      <c r="O243" s="2901" t="s">
        <v>4442</v>
      </c>
      <c r="P243" s="586" t="s">
        <v>1572</v>
      </c>
      <c r="Q243" s="301"/>
      <c r="R243" s="177"/>
      <c r="S243" s="403"/>
      <c r="T243" s="525" t="s">
        <v>2309</v>
      </c>
      <c r="U243" s="525" t="s">
        <v>105</v>
      </c>
      <c r="W243" s="446" t="s">
        <v>222</v>
      </c>
      <c r="X243" s="446" t="s">
        <v>3410</v>
      </c>
      <c r="Z243" s="446"/>
      <c r="AA243" s="28"/>
      <c r="AB243" s="28"/>
      <c r="AC243" s="997"/>
      <c r="AD243" s="536"/>
    </row>
    <row r="244" spans="2:30" ht="10.5" customHeight="1">
      <c r="B244" s="292"/>
      <c r="C244" s="394" t="s">
        <v>880</v>
      </c>
      <c r="D244" s="460">
        <v>35400</v>
      </c>
      <c r="E244" s="292"/>
      <c r="F244" s="587"/>
      <c r="G244" s="1079" t="s">
        <v>1468</v>
      </c>
      <c r="H244" s="1079" t="s">
        <v>1322</v>
      </c>
      <c r="I244" s="1080" t="s">
        <v>1469</v>
      </c>
      <c r="J244" s="1080" t="s">
        <v>2629</v>
      </c>
      <c r="K244" s="1081" t="s">
        <v>3769</v>
      </c>
      <c r="L244" s="1082" t="s">
        <v>426</v>
      </c>
      <c r="M244" s="2902" t="s">
        <v>2615</v>
      </c>
      <c r="N244" s="2902" t="s">
        <v>1341</v>
      </c>
      <c r="O244" s="2901" t="s">
        <v>4443</v>
      </c>
      <c r="P244" s="586" t="s">
        <v>1574</v>
      </c>
      <c r="Q244" s="301"/>
      <c r="R244" s="177"/>
      <c r="S244" s="403"/>
      <c r="T244" s="525" t="s">
        <v>1571</v>
      </c>
      <c r="U244" s="525" t="s">
        <v>1645</v>
      </c>
      <c r="W244" s="446" t="s">
        <v>664</v>
      </c>
      <c r="X244" s="446" t="s">
        <v>3410</v>
      </c>
      <c r="Z244" s="446"/>
      <c r="AA244" s="28"/>
      <c r="AB244" s="28"/>
      <c r="AC244" s="997"/>
      <c r="AD244" s="536"/>
    </row>
    <row r="245" spans="2:30" ht="10.5" customHeight="1">
      <c r="B245" s="292"/>
      <c r="C245" s="394" t="s">
        <v>1679</v>
      </c>
      <c r="D245" s="460">
        <v>45200</v>
      </c>
      <c r="E245" s="292"/>
      <c r="F245" s="587"/>
      <c r="G245" s="1079" t="s">
        <v>1470</v>
      </c>
      <c r="H245" s="1079" t="s">
        <v>1222</v>
      </c>
      <c r="I245" s="1080" t="s">
        <v>1471</v>
      </c>
      <c r="J245" s="1080" t="s">
        <v>2629</v>
      </c>
      <c r="K245" s="1081" t="s">
        <v>699</v>
      </c>
      <c r="L245" s="1082" t="s">
        <v>426</v>
      </c>
      <c r="M245" s="2900" t="s">
        <v>2615</v>
      </c>
      <c r="N245" s="2900" t="s">
        <v>1337</v>
      </c>
      <c r="O245" s="2901" t="s">
        <v>4444</v>
      </c>
      <c r="P245" s="586" t="s">
        <v>1576</v>
      </c>
      <c r="Q245" s="301"/>
      <c r="R245" s="177"/>
      <c r="S245" s="403"/>
      <c r="T245" s="525" t="s">
        <v>2580</v>
      </c>
      <c r="U245" s="525" t="s">
        <v>633</v>
      </c>
      <c r="W245" s="446" t="s">
        <v>236</v>
      </c>
      <c r="X245" s="446" t="s">
        <v>3410</v>
      </c>
      <c r="Z245" s="446"/>
      <c r="AA245" s="28"/>
      <c r="AB245" s="28"/>
      <c r="AC245" s="997"/>
      <c r="AD245" s="536"/>
    </row>
    <row r="246" spans="2:30" ht="10.5" customHeight="1">
      <c r="B246" s="292"/>
      <c r="C246" s="394" t="s">
        <v>1922</v>
      </c>
      <c r="D246" s="460">
        <v>48200</v>
      </c>
      <c r="E246" s="292"/>
      <c r="F246" s="587"/>
      <c r="G246" s="1079" t="s">
        <v>176</v>
      </c>
      <c r="H246" s="1079" t="s">
        <v>1222</v>
      </c>
      <c r="I246" s="1080" t="s">
        <v>1708</v>
      </c>
      <c r="J246" s="1080" t="s">
        <v>2629</v>
      </c>
      <c r="K246" s="1081" t="s">
        <v>2598</v>
      </c>
      <c r="L246" s="1082" t="s">
        <v>426</v>
      </c>
      <c r="M246" s="2902" t="s">
        <v>1206</v>
      </c>
      <c r="N246" s="2902" t="s">
        <v>1708</v>
      </c>
      <c r="O246" s="2901" t="s">
        <v>4445</v>
      </c>
      <c r="P246" s="586" t="s">
        <v>1578</v>
      </c>
      <c r="Q246" s="301"/>
      <c r="R246" s="177"/>
      <c r="S246" s="403"/>
      <c r="T246" s="525" t="s">
        <v>1573</v>
      </c>
      <c r="U246" s="525" t="s">
        <v>665</v>
      </c>
      <c r="W246" s="446" t="s">
        <v>665</v>
      </c>
      <c r="X246" s="446" t="s">
        <v>3410</v>
      </c>
      <c r="Z246" s="446"/>
      <c r="AA246" s="28"/>
      <c r="AB246" s="28"/>
      <c r="AC246" s="997"/>
      <c r="AD246" s="536"/>
    </row>
    <row r="247" spans="2:30" ht="10.5" customHeight="1">
      <c r="B247" s="292"/>
      <c r="C247" s="393" t="s">
        <v>1924</v>
      </c>
      <c r="D247" s="460">
        <v>45600</v>
      </c>
      <c r="E247" s="292"/>
      <c r="F247" s="587"/>
      <c r="G247" s="1079" t="s">
        <v>177</v>
      </c>
      <c r="H247" s="1079" t="s">
        <v>1322</v>
      </c>
      <c r="I247" s="1083" t="s">
        <v>178</v>
      </c>
      <c r="J247" s="1083" t="s">
        <v>2628</v>
      </c>
      <c r="K247" s="1081" t="s">
        <v>700</v>
      </c>
      <c r="L247" s="1082" t="s">
        <v>425</v>
      </c>
      <c r="M247" s="2902" t="s">
        <v>2615</v>
      </c>
      <c r="N247" s="2902" t="s">
        <v>1216</v>
      </c>
      <c r="O247" s="2901" t="s">
        <v>4446</v>
      </c>
      <c r="P247" s="586" t="s">
        <v>1754</v>
      </c>
      <c r="Q247" s="301"/>
      <c r="R247" s="177"/>
      <c r="S247" s="403"/>
      <c r="T247" s="525" t="s">
        <v>2868</v>
      </c>
      <c r="U247" s="525" t="s">
        <v>2257</v>
      </c>
      <c r="W247" s="446" t="s">
        <v>794</v>
      </c>
      <c r="X247" s="446" t="s">
        <v>3410</v>
      </c>
      <c r="Z247" s="446"/>
      <c r="AA247" s="28"/>
      <c r="AB247" s="28"/>
      <c r="AC247" s="997"/>
      <c r="AD247" s="536"/>
    </row>
    <row r="248" spans="2:30" ht="10.5" customHeight="1">
      <c r="B248" s="292"/>
      <c r="C248" s="393" t="s">
        <v>1926</v>
      </c>
      <c r="D248" s="460">
        <v>49000</v>
      </c>
      <c r="E248" s="292"/>
      <c r="F248" s="587"/>
      <c r="G248" s="1079" t="s">
        <v>1331</v>
      </c>
      <c r="H248" s="1079" t="s">
        <v>1322</v>
      </c>
      <c r="I248" s="1080" t="s">
        <v>179</v>
      </c>
      <c r="J248" s="1080" t="s">
        <v>2628</v>
      </c>
      <c r="K248" s="1081" t="s">
        <v>701</v>
      </c>
      <c r="L248" s="1082" t="s">
        <v>425</v>
      </c>
      <c r="M248" s="2902" t="s">
        <v>2615</v>
      </c>
      <c r="N248" s="2902" t="s">
        <v>1331</v>
      </c>
      <c r="O248" s="2901" t="s">
        <v>4447</v>
      </c>
      <c r="P248" s="586" t="s">
        <v>1756</v>
      </c>
      <c r="Q248" s="301"/>
      <c r="R248" s="177"/>
      <c r="S248" s="403"/>
      <c r="T248" s="525" t="s">
        <v>1575</v>
      </c>
      <c r="U248" s="525" t="s">
        <v>165</v>
      </c>
      <c r="W248" s="446" t="s">
        <v>3401</v>
      </c>
      <c r="X248" s="446" t="s">
        <v>3410</v>
      </c>
      <c r="Z248" s="446"/>
      <c r="AA248" s="28"/>
      <c r="AB248" s="28"/>
      <c r="AC248" s="997"/>
      <c r="AD248" s="536"/>
    </row>
    <row r="249" spans="2:30" ht="10.5" customHeight="1">
      <c r="B249" s="292"/>
      <c r="C249" s="393" t="s">
        <v>1928</v>
      </c>
      <c r="D249" s="460">
        <v>54000</v>
      </c>
      <c r="E249" s="292"/>
      <c r="F249" s="587"/>
      <c r="G249" s="1079" t="s">
        <v>180</v>
      </c>
      <c r="H249" s="1079" t="s">
        <v>1322</v>
      </c>
      <c r="I249" s="1080" t="s">
        <v>2058</v>
      </c>
      <c r="J249" s="1080" t="s">
        <v>2629</v>
      </c>
      <c r="K249" s="1081" t="s">
        <v>625</v>
      </c>
      <c r="L249" s="1082" t="s">
        <v>426</v>
      </c>
      <c r="M249" s="2900" t="s">
        <v>2615</v>
      </c>
      <c r="N249" s="2900" t="s">
        <v>167</v>
      </c>
      <c r="O249" s="2901" t="s">
        <v>4448</v>
      </c>
      <c r="P249" s="586" t="s">
        <v>1758</v>
      </c>
      <c r="Q249" s="301"/>
      <c r="R249" s="177"/>
      <c r="S249" s="403"/>
      <c r="T249" s="525" t="s">
        <v>1577</v>
      </c>
      <c r="U249" s="525" t="s">
        <v>1324</v>
      </c>
      <c r="W249" s="446" t="s">
        <v>3402</v>
      </c>
      <c r="X249" s="446" t="s">
        <v>3410</v>
      </c>
      <c r="Z249" s="446"/>
      <c r="AA249" s="28"/>
      <c r="AB249" s="28"/>
      <c r="AC249" s="997"/>
      <c r="AD249" s="536"/>
    </row>
    <row r="250" spans="2:30" ht="10.5" customHeight="1">
      <c r="B250" s="292"/>
      <c r="C250" s="393" t="s">
        <v>1930</v>
      </c>
      <c r="D250" s="460">
        <v>49300</v>
      </c>
      <c r="E250" s="292"/>
      <c r="F250" s="587"/>
      <c r="G250" s="1079" t="s">
        <v>359</v>
      </c>
      <c r="H250" s="1079" t="s">
        <v>1322</v>
      </c>
      <c r="I250" s="1083" t="s">
        <v>162</v>
      </c>
      <c r="J250" s="1083" t="s">
        <v>2629</v>
      </c>
      <c r="K250" s="1081" t="s">
        <v>1694</v>
      </c>
      <c r="L250" s="1082" t="s">
        <v>426</v>
      </c>
      <c r="M250" s="2900" t="s">
        <v>2615</v>
      </c>
      <c r="N250" s="2900" t="s">
        <v>162</v>
      </c>
      <c r="O250" s="2901" t="s">
        <v>4449</v>
      </c>
      <c r="P250" s="586" t="s">
        <v>1032</v>
      </c>
      <c r="Q250" s="301"/>
      <c r="R250" s="177"/>
      <c r="S250" s="403"/>
      <c r="T250" s="525" t="s">
        <v>1579</v>
      </c>
      <c r="U250" s="525" t="s">
        <v>180</v>
      </c>
      <c r="W250" s="446" t="s">
        <v>1232</v>
      </c>
      <c r="X250" s="446" t="s">
        <v>3410</v>
      </c>
      <c r="Z250" s="446"/>
      <c r="AA250" s="28"/>
      <c r="AB250" s="28"/>
      <c r="AC250" s="997"/>
      <c r="AD250" s="536"/>
    </row>
    <row r="251" spans="2:30" ht="10.5" customHeight="1">
      <c r="B251" s="292"/>
      <c r="C251" s="393" t="s">
        <v>1932</v>
      </c>
      <c r="D251" s="460">
        <v>36500</v>
      </c>
      <c r="E251" s="292"/>
      <c r="F251" s="587"/>
      <c r="G251" s="1079" t="s">
        <v>1890</v>
      </c>
      <c r="H251" s="1079" t="s">
        <v>1322</v>
      </c>
      <c r="I251" s="1083" t="s">
        <v>772</v>
      </c>
      <c r="J251" s="1083" t="s">
        <v>2629</v>
      </c>
      <c r="K251" s="1081" t="s">
        <v>2614</v>
      </c>
      <c r="L251" s="1082" t="s">
        <v>426</v>
      </c>
      <c r="M251" s="2900" t="s">
        <v>2615</v>
      </c>
      <c r="N251" s="2900" t="s">
        <v>1341</v>
      </c>
      <c r="O251" s="2901" t="s">
        <v>4450</v>
      </c>
      <c r="P251" s="586" t="s">
        <v>1033</v>
      </c>
      <c r="Q251" s="301"/>
      <c r="R251" s="177"/>
      <c r="S251" s="403"/>
      <c r="T251" s="525" t="s">
        <v>1755</v>
      </c>
      <c r="U251" s="525" t="s">
        <v>665</v>
      </c>
      <c r="W251" s="446" t="s">
        <v>685</v>
      </c>
      <c r="X251" s="446" t="s">
        <v>3410</v>
      </c>
      <c r="Z251" s="446"/>
      <c r="AA251" s="28"/>
      <c r="AB251" s="28"/>
      <c r="AC251" s="997"/>
      <c r="AD251" s="536"/>
    </row>
    <row r="252" spans="2:30" ht="10.5" customHeight="1">
      <c r="B252" s="292"/>
      <c r="C252" s="394" t="s">
        <v>1935</v>
      </c>
      <c r="D252" s="460">
        <v>51200</v>
      </c>
      <c r="E252" s="292"/>
      <c r="F252" s="587"/>
      <c r="G252" s="1079" t="s">
        <v>1891</v>
      </c>
      <c r="H252" s="1079" t="s">
        <v>1222</v>
      </c>
      <c r="I252" s="1080" t="s">
        <v>11</v>
      </c>
      <c r="J252" s="1080" t="s">
        <v>2629</v>
      </c>
      <c r="K252" s="1081" t="s">
        <v>2597</v>
      </c>
      <c r="L252" s="1082" t="s">
        <v>426</v>
      </c>
      <c r="M252" s="2900" t="s">
        <v>2615</v>
      </c>
      <c r="N252" s="2900" t="s">
        <v>1337</v>
      </c>
      <c r="O252" s="2901" t="s">
        <v>4451</v>
      </c>
      <c r="P252" s="586" t="s">
        <v>238</v>
      </c>
      <c r="Q252" s="301"/>
      <c r="R252" s="177"/>
      <c r="S252" s="403"/>
      <c r="T252" s="525" t="s">
        <v>1757</v>
      </c>
      <c r="U252" s="525" t="s">
        <v>740</v>
      </c>
      <c r="W252" s="446" t="s">
        <v>672</v>
      </c>
      <c r="X252" s="446" t="s">
        <v>3410</v>
      </c>
      <c r="Z252" s="446"/>
      <c r="AA252" s="28"/>
      <c r="AB252" s="28"/>
      <c r="AC252" s="997"/>
      <c r="AD252" s="536"/>
    </row>
    <row r="253" spans="2:30" ht="10.5" customHeight="1">
      <c r="B253" s="292"/>
      <c r="C253" s="393" t="s">
        <v>2021</v>
      </c>
      <c r="D253" s="460">
        <v>44200</v>
      </c>
      <c r="E253" s="292"/>
      <c r="F253" s="587"/>
      <c r="G253" s="1079" t="s">
        <v>1892</v>
      </c>
      <c r="H253" s="1079" t="s">
        <v>1322</v>
      </c>
      <c r="I253" s="1083" t="s">
        <v>776</v>
      </c>
      <c r="J253" s="1083" t="s">
        <v>2629</v>
      </c>
      <c r="K253" s="1081" t="s">
        <v>702</v>
      </c>
      <c r="L253" s="1082" t="s">
        <v>426</v>
      </c>
      <c r="M253" s="2900" t="s">
        <v>2615</v>
      </c>
      <c r="N253" s="2900" t="s">
        <v>1216</v>
      </c>
      <c r="O253" s="2901" t="s">
        <v>4452</v>
      </c>
      <c r="P253" s="586" t="s">
        <v>240</v>
      </c>
      <c r="Q253" s="301"/>
      <c r="R253" s="177"/>
      <c r="S253" s="403"/>
      <c r="T253" s="525" t="s">
        <v>1031</v>
      </c>
      <c r="U253" s="525" t="s">
        <v>1325</v>
      </c>
      <c r="W253" s="446" t="s">
        <v>989</v>
      </c>
      <c r="X253" s="446" t="s">
        <v>3410</v>
      </c>
      <c r="Z253" s="446"/>
      <c r="AA253" s="28"/>
      <c r="AB253" s="28"/>
      <c r="AC253" s="997"/>
      <c r="AD253" s="536"/>
    </row>
    <row r="254" spans="2:30" ht="10.5" customHeight="1">
      <c r="B254" s="292"/>
      <c r="C254" s="393" t="s">
        <v>1708</v>
      </c>
      <c r="D254" s="460">
        <v>45900</v>
      </c>
      <c r="E254" s="292"/>
      <c r="F254" s="587"/>
      <c r="G254" s="1079" t="s">
        <v>1643</v>
      </c>
      <c r="H254" s="1079" t="s">
        <v>1222</v>
      </c>
      <c r="I254" s="1080" t="s">
        <v>1644</v>
      </c>
      <c r="J254" s="1080" t="s">
        <v>2628</v>
      </c>
      <c r="K254" s="1081" t="s">
        <v>703</v>
      </c>
      <c r="L254" s="1082" t="s">
        <v>425</v>
      </c>
      <c r="M254" s="2902" t="s">
        <v>2615</v>
      </c>
      <c r="N254" s="2902" t="s">
        <v>1794</v>
      </c>
      <c r="O254" s="2901" t="s">
        <v>4453</v>
      </c>
      <c r="P254" s="586" t="s">
        <v>1274</v>
      </c>
      <c r="Q254" s="301"/>
      <c r="R254" s="177"/>
      <c r="S254" s="403"/>
      <c r="T254" s="525" t="s">
        <v>1034</v>
      </c>
      <c r="U254" s="525" t="s">
        <v>663</v>
      </c>
      <c r="W254" s="446" t="s">
        <v>993</v>
      </c>
      <c r="X254" s="446" t="s">
        <v>3410</v>
      </c>
      <c r="Z254" s="446"/>
      <c r="AA254" s="28"/>
      <c r="AB254" s="28"/>
      <c r="AC254" s="997"/>
      <c r="AD254" s="536"/>
    </row>
    <row r="255" spans="2:30" ht="10.5" customHeight="1">
      <c r="B255" s="292"/>
      <c r="C255" s="394" t="s">
        <v>104</v>
      </c>
      <c r="D255" s="460">
        <v>45000</v>
      </c>
      <c r="E255" s="292"/>
      <c r="F255" s="587"/>
      <c r="G255" s="1079" t="s">
        <v>1645</v>
      </c>
      <c r="H255" s="1079" t="s">
        <v>1222</v>
      </c>
      <c r="I255" s="1080" t="s">
        <v>1646</v>
      </c>
      <c r="J255" s="1080" t="s">
        <v>2628</v>
      </c>
      <c r="K255" s="1081" t="s">
        <v>704</v>
      </c>
      <c r="L255" s="1082" t="s">
        <v>425</v>
      </c>
      <c r="M255" s="2902" t="s">
        <v>2615</v>
      </c>
      <c r="N255" s="2902" t="s">
        <v>1794</v>
      </c>
      <c r="O255" s="2901" t="s">
        <v>4454</v>
      </c>
      <c r="P255" s="586" t="s">
        <v>2074</v>
      </c>
      <c r="Q255" s="301"/>
      <c r="R255" s="177"/>
      <c r="S255" s="403"/>
      <c r="T255" s="525" t="s">
        <v>239</v>
      </c>
      <c r="U255" s="525" t="s">
        <v>2545</v>
      </c>
      <c r="W255" s="446" t="s">
        <v>995</v>
      </c>
      <c r="X255" s="446" t="s">
        <v>3410</v>
      </c>
      <c r="Z255" s="446"/>
      <c r="AA255" s="28"/>
      <c r="AB255" s="28"/>
      <c r="AC255" s="997"/>
      <c r="AD255" s="536"/>
    </row>
    <row r="256" spans="2:30" ht="10.5" customHeight="1">
      <c r="B256" s="292"/>
      <c r="C256" s="393" t="s">
        <v>1721</v>
      </c>
      <c r="D256" s="460">
        <v>57900</v>
      </c>
      <c r="E256" s="292"/>
      <c r="F256" s="587"/>
      <c r="G256" s="1079" t="s">
        <v>1647</v>
      </c>
      <c r="H256" s="1079" t="s">
        <v>1322</v>
      </c>
      <c r="I256" s="1083" t="s">
        <v>2057</v>
      </c>
      <c r="J256" s="1083" t="s">
        <v>2629</v>
      </c>
      <c r="K256" s="1081" t="s">
        <v>705</v>
      </c>
      <c r="L256" s="1082" t="s">
        <v>426</v>
      </c>
      <c r="M256" s="2900" t="s">
        <v>2615</v>
      </c>
      <c r="N256" s="2900" t="s">
        <v>1216</v>
      </c>
      <c r="O256" s="2901" t="s">
        <v>4455</v>
      </c>
      <c r="P256" s="586" t="s">
        <v>2076</v>
      </c>
      <c r="Q256" s="301"/>
      <c r="R256" s="177"/>
      <c r="S256" s="403"/>
      <c r="T256" s="525" t="s">
        <v>2869</v>
      </c>
      <c r="U256" s="525" t="s">
        <v>882</v>
      </c>
      <c r="W256" s="446" t="s">
        <v>578</v>
      </c>
      <c r="X256" s="446" t="s">
        <v>3410</v>
      </c>
      <c r="Z256" s="446"/>
      <c r="AA256" s="28"/>
      <c r="AB256" s="28"/>
      <c r="AC256" s="997"/>
      <c r="AD256" s="536"/>
    </row>
    <row r="257" spans="2:30" ht="10.5" customHeight="1">
      <c r="B257" s="292"/>
      <c r="C257" s="393" t="s">
        <v>106</v>
      </c>
      <c r="D257" s="460">
        <v>40200</v>
      </c>
      <c r="F257" s="587"/>
      <c r="G257" s="1079" t="s">
        <v>185</v>
      </c>
      <c r="H257" s="1079" t="s">
        <v>1222</v>
      </c>
      <c r="I257" s="1080" t="s">
        <v>186</v>
      </c>
      <c r="J257" s="1080" t="s">
        <v>2628</v>
      </c>
      <c r="K257" s="1081" t="s">
        <v>706</v>
      </c>
      <c r="L257" s="1082" t="s">
        <v>425</v>
      </c>
      <c r="M257" s="2902" t="s">
        <v>2615</v>
      </c>
      <c r="N257" s="2902" t="s">
        <v>1337</v>
      </c>
      <c r="O257" s="2901" t="s">
        <v>4456</v>
      </c>
      <c r="P257" s="586" t="s">
        <v>2078</v>
      </c>
      <c r="Q257" s="301"/>
      <c r="R257" s="177"/>
      <c r="S257" s="403"/>
      <c r="T257" s="292" t="s">
        <v>1770</v>
      </c>
      <c r="U257" s="292" t="s">
        <v>1106</v>
      </c>
      <c r="W257" s="446" t="s">
        <v>374</v>
      </c>
      <c r="X257" s="446" t="s">
        <v>3410</v>
      </c>
      <c r="Z257" s="446"/>
      <c r="AA257" s="28"/>
      <c r="AB257" s="28"/>
      <c r="AC257" s="997"/>
      <c r="AD257" s="536"/>
    </row>
    <row r="258" spans="2:30" ht="10.5" customHeight="1">
      <c r="B258" s="292"/>
      <c r="C258" s="393" t="s">
        <v>108</v>
      </c>
      <c r="D258" s="460">
        <v>46900</v>
      </c>
      <c r="F258" s="587"/>
      <c r="G258" s="1079" t="s">
        <v>2600</v>
      </c>
      <c r="H258" s="1079" t="s">
        <v>1322</v>
      </c>
      <c r="I258" s="1083" t="s">
        <v>2601</v>
      </c>
      <c r="J258" s="1080" t="s">
        <v>2629</v>
      </c>
      <c r="K258" s="1081" t="s">
        <v>3768</v>
      </c>
      <c r="L258" s="1082" t="s">
        <v>426</v>
      </c>
      <c r="M258" s="2902" t="s">
        <v>2615</v>
      </c>
      <c r="N258" s="2902" t="s">
        <v>1216</v>
      </c>
      <c r="O258" s="2901" t="s">
        <v>4457</v>
      </c>
      <c r="P258" s="586" t="s">
        <v>2080</v>
      </c>
      <c r="Q258" s="301"/>
      <c r="R258" s="177"/>
      <c r="S258" s="403"/>
      <c r="T258" s="525" t="s">
        <v>2075</v>
      </c>
      <c r="U258" s="525" t="s">
        <v>322</v>
      </c>
      <c r="W258" s="446" t="s">
        <v>1606</v>
      </c>
      <c r="X258" s="446" t="s">
        <v>3410</v>
      </c>
      <c r="Z258" s="446"/>
      <c r="AA258" s="28"/>
      <c r="AB258" s="28"/>
      <c r="AC258" s="536"/>
      <c r="AD258" s="536"/>
    </row>
    <row r="259" spans="2:30" ht="10.5" customHeight="1">
      <c r="B259" s="292"/>
      <c r="C259" s="393" t="s">
        <v>110</v>
      </c>
      <c r="D259" s="460">
        <v>48800</v>
      </c>
      <c r="F259" s="587"/>
      <c r="G259" s="1079" t="s">
        <v>2602</v>
      </c>
      <c r="H259" s="1079" t="s">
        <v>1322</v>
      </c>
      <c r="I259" s="1080" t="s">
        <v>2603</v>
      </c>
      <c r="J259" s="1080" t="s">
        <v>2629</v>
      </c>
      <c r="K259" s="1081" t="s">
        <v>1966</v>
      </c>
      <c r="L259" s="1082" t="s">
        <v>426</v>
      </c>
      <c r="M259" s="2900" t="s">
        <v>2615</v>
      </c>
      <c r="N259" s="2900" t="s">
        <v>1216</v>
      </c>
      <c r="O259" s="2901" t="s">
        <v>4458</v>
      </c>
      <c r="P259" s="586" t="s">
        <v>2082</v>
      </c>
      <c r="Q259" s="301"/>
      <c r="R259" s="177"/>
      <c r="S259" s="403"/>
      <c r="T259" s="525" t="s">
        <v>2077</v>
      </c>
      <c r="U259" s="525" t="s">
        <v>320</v>
      </c>
      <c r="W259" s="446" t="s">
        <v>1017</v>
      </c>
      <c r="X259" s="446" t="s">
        <v>3410</v>
      </c>
      <c r="Z259" s="446"/>
      <c r="AA259" s="28"/>
      <c r="AB259" s="28"/>
      <c r="AC259" s="997"/>
      <c r="AD259" s="536"/>
    </row>
    <row r="260" spans="2:30" ht="10.5" customHeight="1">
      <c r="B260" s="292"/>
      <c r="C260" s="393" t="s">
        <v>112</v>
      </c>
      <c r="D260" s="460">
        <v>45000</v>
      </c>
      <c r="F260" s="587"/>
      <c r="G260" s="1079" t="s">
        <v>2604</v>
      </c>
      <c r="H260" s="1079" t="s">
        <v>1322</v>
      </c>
      <c r="I260" s="1083" t="s">
        <v>162</v>
      </c>
      <c r="J260" s="1083" t="s">
        <v>2629</v>
      </c>
      <c r="K260" s="1081" t="s">
        <v>1694</v>
      </c>
      <c r="L260" s="1082" t="s">
        <v>426</v>
      </c>
      <c r="M260" s="2902" t="s">
        <v>1206</v>
      </c>
      <c r="N260" s="2902" t="s">
        <v>162</v>
      </c>
      <c r="O260" s="2901" t="s">
        <v>4459</v>
      </c>
      <c r="P260" s="586" t="s">
        <v>2084</v>
      </c>
      <c r="Q260" s="301"/>
      <c r="R260" s="177"/>
      <c r="S260" s="403"/>
      <c r="T260" s="525" t="s">
        <v>2079</v>
      </c>
      <c r="U260" s="525" t="s">
        <v>633</v>
      </c>
      <c r="W260" s="446" t="s">
        <v>1019</v>
      </c>
      <c r="X260" s="446" t="s">
        <v>3410</v>
      </c>
      <c r="Z260" s="446"/>
      <c r="AA260" s="28"/>
      <c r="AB260" s="28"/>
      <c r="AC260" s="997"/>
      <c r="AD260" s="536"/>
    </row>
    <row r="261" spans="2:30" ht="10.5" customHeight="1">
      <c r="B261" s="292"/>
      <c r="C261" s="393" t="s">
        <v>114</v>
      </c>
      <c r="D261" s="460">
        <v>36400</v>
      </c>
      <c r="F261" s="587"/>
      <c r="G261" s="1079" t="s">
        <v>2605</v>
      </c>
      <c r="H261" s="1079" t="s">
        <v>1322</v>
      </c>
      <c r="I261" s="1083" t="s">
        <v>771</v>
      </c>
      <c r="J261" s="1083" t="s">
        <v>2629</v>
      </c>
      <c r="K261" s="1081" t="s">
        <v>2592</v>
      </c>
      <c r="L261" s="1082" t="s">
        <v>426</v>
      </c>
      <c r="M261" s="2900" t="s">
        <v>1206</v>
      </c>
      <c r="N261" s="2900" t="s">
        <v>1216</v>
      </c>
      <c r="O261" s="2901" t="s">
        <v>4460</v>
      </c>
      <c r="P261" s="586" t="s">
        <v>680</v>
      </c>
      <c r="Q261" s="301"/>
      <c r="R261" s="177"/>
      <c r="S261" s="403"/>
      <c r="T261" s="525" t="s">
        <v>2081</v>
      </c>
      <c r="U261" s="525" t="s">
        <v>2602</v>
      </c>
      <c r="W261" s="446" t="s">
        <v>1691</v>
      </c>
      <c r="X261" s="446" t="s">
        <v>3410</v>
      </c>
      <c r="Z261" s="446"/>
      <c r="AA261" s="28"/>
      <c r="AB261" s="28"/>
      <c r="AC261" s="997"/>
      <c r="AD261" s="536"/>
    </row>
    <row r="262" spans="2:30" ht="10.5" customHeight="1">
      <c r="B262" s="292"/>
      <c r="C262" s="393" t="s">
        <v>116</v>
      </c>
      <c r="D262" s="460">
        <v>53200</v>
      </c>
      <c r="F262" s="587"/>
      <c r="G262" s="1079" t="s">
        <v>2606</v>
      </c>
      <c r="H262" s="1079" t="s">
        <v>1322</v>
      </c>
      <c r="I262" s="1080" t="s">
        <v>2058</v>
      </c>
      <c r="J262" s="1080" t="s">
        <v>2629</v>
      </c>
      <c r="K262" s="1081" t="s">
        <v>625</v>
      </c>
      <c r="L262" s="1082" t="s">
        <v>426</v>
      </c>
      <c r="M262" s="2900" t="s">
        <v>2615</v>
      </c>
      <c r="N262" s="2900" t="s">
        <v>167</v>
      </c>
      <c r="O262" s="2901" t="s">
        <v>4461</v>
      </c>
      <c r="P262" s="586" t="s">
        <v>2343</v>
      </c>
      <c r="Q262" s="301"/>
      <c r="R262" s="177"/>
      <c r="S262" s="403"/>
      <c r="T262" s="525" t="s">
        <v>694</v>
      </c>
      <c r="U262" s="525" t="s">
        <v>1217</v>
      </c>
      <c r="W262" s="446" t="s">
        <v>873</v>
      </c>
      <c r="X262" s="446" t="s">
        <v>3410</v>
      </c>
      <c r="Z262" s="446"/>
      <c r="AA262" s="28"/>
      <c r="AB262" s="28"/>
      <c r="AC262" s="997"/>
      <c r="AD262" s="536"/>
    </row>
    <row r="263" spans="2:30" ht="10.5" customHeight="1">
      <c r="B263" s="292"/>
      <c r="C263" s="393" t="s">
        <v>2411</v>
      </c>
      <c r="D263" s="460">
        <v>41400</v>
      </c>
      <c r="F263" s="587"/>
      <c r="G263" s="1079" t="s">
        <v>2607</v>
      </c>
      <c r="H263" s="1079" t="s">
        <v>1322</v>
      </c>
      <c r="I263" s="1080" t="s">
        <v>2058</v>
      </c>
      <c r="J263" s="1080" t="s">
        <v>2629</v>
      </c>
      <c r="K263" s="1081" t="s">
        <v>625</v>
      </c>
      <c r="L263" s="1082" t="s">
        <v>426</v>
      </c>
      <c r="M263" s="2900" t="s">
        <v>2615</v>
      </c>
      <c r="N263" s="2900" t="s">
        <v>167</v>
      </c>
      <c r="O263" s="2901" t="s">
        <v>4462</v>
      </c>
      <c r="P263" s="586" t="s">
        <v>2344</v>
      </c>
      <c r="Q263" s="301"/>
      <c r="R263" s="177"/>
      <c r="S263" s="403"/>
      <c r="T263" s="525" t="s">
        <v>2581</v>
      </c>
      <c r="U263" s="525" t="s">
        <v>2022</v>
      </c>
      <c r="W263" s="446" t="s">
        <v>1752</v>
      </c>
      <c r="X263" s="446" t="s">
        <v>3410</v>
      </c>
      <c r="Z263" s="446"/>
      <c r="AA263" s="28"/>
      <c r="AB263" s="28"/>
      <c r="AC263" s="997"/>
      <c r="AD263" s="536"/>
    </row>
    <row r="264" spans="2:30" ht="10.5" customHeight="1">
      <c r="B264" s="292"/>
      <c r="C264" s="393" t="s">
        <v>2413</v>
      </c>
      <c r="D264" s="460">
        <v>41000</v>
      </c>
      <c r="F264" s="587"/>
      <c r="G264" s="1079" t="s">
        <v>2608</v>
      </c>
      <c r="H264" s="1079" t="s">
        <v>1322</v>
      </c>
      <c r="I264" s="1083" t="s">
        <v>771</v>
      </c>
      <c r="J264" s="1083" t="s">
        <v>2629</v>
      </c>
      <c r="K264" s="1081" t="s">
        <v>2592</v>
      </c>
      <c r="L264" s="1082" t="s">
        <v>426</v>
      </c>
      <c r="M264" s="2900" t="s">
        <v>1206</v>
      </c>
      <c r="N264" s="2900" t="s">
        <v>1216</v>
      </c>
      <c r="O264" s="2901" t="s">
        <v>4463</v>
      </c>
      <c r="P264" s="586" t="s">
        <v>1257</v>
      </c>
      <c r="Q264" s="301"/>
      <c r="R264" s="177"/>
      <c r="S264" s="403"/>
      <c r="T264" s="525" t="s">
        <v>2083</v>
      </c>
      <c r="U264" s="525" t="s">
        <v>201</v>
      </c>
      <c r="W264" s="446" t="s">
        <v>636</v>
      </c>
      <c r="X264" s="446" t="s">
        <v>3410</v>
      </c>
      <c r="Z264" s="446"/>
      <c r="AA264" s="28"/>
      <c r="AB264" s="28"/>
      <c r="AC264" s="997"/>
      <c r="AD264" s="536"/>
    </row>
    <row r="265" spans="2:30" ht="10.5" customHeight="1">
      <c r="B265" s="292"/>
      <c r="C265" s="393" t="s">
        <v>2415</v>
      </c>
      <c r="D265" s="460">
        <v>44800</v>
      </c>
      <c r="F265" s="587"/>
      <c r="G265" s="1079" t="s">
        <v>1100</v>
      </c>
      <c r="H265" s="1079" t="s">
        <v>1322</v>
      </c>
      <c r="I265" s="1083" t="s">
        <v>1101</v>
      </c>
      <c r="J265" s="1083" t="s">
        <v>2628</v>
      </c>
      <c r="K265" s="1081" t="s">
        <v>1967</v>
      </c>
      <c r="L265" s="1082" t="s">
        <v>425</v>
      </c>
      <c r="M265" s="2902" t="s">
        <v>2615</v>
      </c>
      <c r="N265" s="2902" t="s">
        <v>1331</v>
      </c>
      <c r="O265" s="2901" t="s">
        <v>4464</v>
      </c>
      <c r="P265" s="586" t="s">
        <v>1259</v>
      </c>
      <c r="Q265" s="301"/>
      <c r="R265" s="177"/>
      <c r="S265" s="403"/>
      <c r="T265" s="525" t="s">
        <v>2870</v>
      </c>
      <c r="U265" s="525" t="s">
        <v>667</v>
      </c>
      <c r="W265" s="446" t="s">
        <v>2303</v>
      </c>
      <c r="X265" s="446" t="s">
        <v>3410</v>
      </c>
      <c r="Z265" s="446"/>
      <c r="AA265" s="28"/>
      <c r="AB265" s="28"/>
      <c r="AC265" s="997"/>
      <c r="AD265" s="536"/>
    </row>
    <row r="266" spans="2:30" ht="10.5" customHeight="1">
      <c r="F266" s="587"/>
      <c r="G266" s="1079" t="s">
        <v>1102</v>
      </c>
      <c r="H266" s="1079" t="s">
        <v>1322</v>
      </c>
      <c r="I266" s="1083" t="s">
        <v>771</v>
      </c>
      <c r="J266" s="1083" t="s">
        <v>2629</v>
      </c>
      <c r="K266" s="1081" t="s">
        <v>2592</v>
      </c>
      <c r="L266" s="1082" t="s">
        <v>426</v>
      </c>
      <c r="M266" s="2900" t="s">
        <v>1206</v>
      </c>
      <c r="N266" s="2900" t="s">
        <v>1216</v>
      </c>
      <c r="O266" s="2901" t="s">
        <v>4465</v>
      </c>
      <c r="P266" s="586" t="s">
        <v>1261</v>
      </c>
      <c r="Q266" s="301"/>
      <c r="R266" s="177"/>
      <c r="S266" s="403"/>
      <c r="T266" s="525" t="s">
        <v>2085</v>
      </c>
      <c r="U266" s="525" t="s">
        <v>201</v>
      </c>
      <c r="W266" s="446" t="s">
        <v>1042</v>
      </c>
      <c r="X266" s="446" t="s">
        <v>3410</v>
      </c>
      <c r="AA266" s="28"/>
      <c r="AB266" s="28"/>
      <c r="AC266" s="997"/>
      <c r="AD266" s="536"/>
    </row>
    <row r="267" spans="2:30" ht="10.5" customHeight="1">
      <c r="F267" s="587"/>
      <c r="G267" s="1079" t="s">
        <v>1103</v>
      </c>
      <c r="H267" s="1079" t="s">
        <v>1222</v>
      </c>
      <c r="I267" s="1080" t="s">
        <v>1104</v>
      </c>
      <c r="J267" s="1080" t="s">
        <v>2628</v>
      </c>
      <c r="K267" s="1081" t="s">
        <v>1968</v>
      </c>
      <c r="L267" s="1082" t="s">
        <v>425</v>
      </c>
      <c r="M267" s="2902" t="s">
        <v>2615</v>
      </c>
      <c r="N267" s="2902" t="s">
        <v>1708</v>
      </c>
      <c r="O267" s="2901" t="s">
        <v>4466</v>
      </c>
      <c r="P267" s="586" t="s">
        <v>1262</v>
      </c>
      <c r="Q267" s="301"/>
      <c r="R267" s="177"/>
      <c r="S267" s="403"/>
      <c r="T267" s="525" t="s">
        <v>681</v>
      </c>
      <c r="U267" s="525" t="s">
        <v>2022</v>
      </c>
      <c r="W267" s="446" t="s">
        <v>1958</v>
      </c>
      <c r="X267" s="446" t="s">
        <v>3410</v>
      </c>
      <c r="AA267" s="28"/>
      <c r="AB267" s="28"/>
      <c r="AC267" s="997"/>
      <c r="AD267" s="536"/>
    </row>
    <row r="268" spans="2:30" ht="10.5" customHeight="1">
      <c r="F268" s="587"/>
      <c r="G268" s="1079" t="s">
        <v>1105</v>
      </c>
      <c r="H268" s="1079" t="s">
        <v>1322</v>
      </c>
      <c r="I268" s="1083" t="s">
        <v>771</v>
      </c>
      <c r="J268" s="1083" t="s">
        <v>2629</v>
      </c>
      <c r="K268" s="1081" t="s">
        <v>2592</v>
      </c>
      <c r="L268" s="1082" t="s">
        <v>426</v>
      </c>
      <c r="M268" s="2900" t="s">
        <v>1206</v>
      </c>
      <c r="N268" s="2900" t="s">
        <v>1216</v>
      </c>
      <c r="O268" s="2901" t="s">
        <v>4467</v>
      </c>
      <c r="P268" s="586" t="s">
        <v>1264</v>
      </c>
      <c r="Q268" s="301"/>
      <c r="R268" s="177"/>
      <c r="S268" s="403"/>
      <c r="T268" s="525" t="s">
        <v>2345</v>
      </c>
      <c r="U268" s="525" t="s">
        <v>123</v>
      </c>
      <c r="W268" s="446" t="s">
        <v>496</v>
      </c>
      <c r="X268" s="446" t="s">
        <v>3410</v>
      </c>
      <c r="AA268" s="28"/>
      <c r="AB268" s="28"/>
      <c r="AC268" s="997"/>
      <c r="AD268" s="536"/>
    </row>
    <row r="269" spans="2:30" ht="10.5" customHeight="1">
      <c r="F269" s="587"/>
      <c r="G269" s="1079" t="s">
        <v>1106</v>
      </c>
      <c r="H269" s="1079" t="s">
        <v>1322</v>
      </c>
      <c r="I269" s="1080" t="s">
        <v>1107</v>
      </c>
      <c r="J269" s="1080" t="s">
        <v>2628</v>
      </c>
      <c r="K269" s="1081" t="s">
        <v>1969</v>
      </c>
      <c r="L269" s="1082" t="s">
        <v>425</v>
      </c>
      <c r="M269" s="2902" t="s">
        <v>2615</v>
      </c>
      <c r="N269" s="2902" t="s">
        <v>1216</v>
      </c>
      <c r="O269" s="2901" t="s">
        <v>4468</v>
      </c>
      <c r="P269" s="586" t="s">
        <v>2509</v>
      </c>
      <c r="Q269" s="301"/>
      <c r="R269" s="177"/>
      <c r="S269" s="403"/>
      <c r="T269" s="525" t="s">
        <v>1258</v>
      </c>
      <c r="U269" s="525" t="s">
        <v>633</v>
      </c>
      <c r="W269" s="446" t="s">
        <v>1658</v>
      </c>
      <c r="X269" s="446" t="s">
        <v>3410</v>
      </c>
      <c r="AA269" s="28"/>
      <c r="AB269" s="28"/>
      <c r="AC269" s="997"/>
      <c r="AD269" s="536"/>
    </row>
    <row r="270" spans="2:30" ht="10.5" customHeight="1">
      <c r="F270" s="587"/>
      <c r="G270" s="1079" t="s">
        <v>1108</v>
      </c>
      <c r="H270" s="1079" t="s">
        <v>1222</v>
      </c>
      <c r="I270" s="1083" t="s">
        <v>1109</v>
      </c>
      <c r="J270" s="1083" t="s">
        <v>2628</v>
      </c>
      <c r="K270" s="1081" t="s">
        <v>1970</v>
      </c>
      <c r="L270" s="1082" t="s">
        <v>425</v>
      </c>
      <c r="M270" s="2902" t="s">
        <v>2615</v>
      </c>
      <c r="N270" s="2902" t="s">
        <v>1331</v>
      </c>
      <c r="O270" s="2901" t="s">
        <v>4469</v>
      </c>
      <c r="P270" s="586" t="s">
        <v>83</v>
      </c>
      <c r="Q270" s="301"/>
      <c r="R270" s="177"/>
      <c r="S270" s="403"/>
      <c r="T270" s="525" t="s">
        <v>1260</v>
      </c>
      <c r="U270" s="525" t="s">
        <v>2259</v>
      </c>
      <c r="W270" s="446" t="s">
        <v>951</v>
      </c>
      <c r="X270" s="446" t="s">
        <v>3410</v>
      </c>
      <c r="AA270" s="28"/>
      <c r="AB270" s="28"/>
      <c r="AC270" s="997"/>
      <c r="AD270" s="536"/>
    </row>
    <row r="271" spans="2:30" ht="10.5" customHeight="1">
      <c r="F271" s="587"/>
      <c r="G271" s="1079" t="s">
        <v>1110</v>
      </c>
      <c r="H271" s="1079" t="s">
        <v>1322</v>
      </c>
      <c r="I271" s="1083" t="s">
        <v>1111</v>
      </c>
      <c r="J271" s="1083" t="s">
        <v>2628</v>
      </c>
      <c r="K271" s="1081" t="s">
        <v>1971</v>
      </c>
      <c r="L271" s="1082" t="s">
        <v>425</v>
      </c>
      <c r="M271" s="2902" t="s">
        <v>2615</v>
      </c>
      <c r="N271" s="2902" t="s">
        <v>1216</v>
      </c>
      <c r="O271" s="2901" t="s">
        <v>4470</v>
      </c>
      <c r="P271" s="586" t="s">
        <v>84</v>
      </c>
      <c r="Q271" s="301"/>
      <c r="R271" s="177"/>
      <c r="S271" s="403"/>
      <c r="T271" s="525" t="s">
        <v>2498</v>
      </c>
      <c r="U271" s="525" t="s">
        <v>1114</v>
      </c>
      <c r="W271" s="446" t="s">
        <v>2322</v>
      </c>
      <c r="X271" s="446" t="s">
        <v>3410</v>
      </c>
      <c r="AA271" s="28"/>
      <c r="AB271" s="28"/>
      <c r="AC271" s="997"/>
      <c r="AD271" s="536"/>
    </row>
    <row r="272" spans="2:30" ht="10.5" customHeight="1">
      <c r="F272" s="587"/>
      <c r="G272" s="1079" t="s">
        <v>1112</v>
      </c>
      <c r="H272" s="1079" t="s">
        <v>1222</v>
      </c>
      <c r="I272" s="1080" t="s">
        <v>1113</v>
      </c>
      <c r="J272" s="1080" t="s">
        <v>2628</v>
      </c>
      <c r="K272" s="1081" t="s">
        <v>1796</v>
      </c>
      <c r="L272" s="1082" t="s">
        <v>425</v>
      </c>
      <c r="M272" s="2902" t="s">
        <v>2615</v>
      </c>
      <c r="N272" s="2902" t="s">
        <v>162</v>
      </c>
      <c r="O272" s="2901" t="s">
        <v>4471</v>
      </c>
      <c r="P272" s="586" t="s">
        <v>85</v>
      </c>
      <c r="Q272" s="301"/>
      <c r="R272" s="177"/>
      <c r="S272" s="403"/>
      <c r="T272" s="525" t="s">
        <v>1263</v>
      </c>
      <c r="U272" s="525" t="s">
        <v>313</v>
      </c>
      <c r="W272" s="446" t="s">
        <v>325</v>
      </c>
      <c r="X272" s="446" t="s">
        <v>3410</v>
      </c>
      <c r="AA272" s="28"/>
      <c r="AB272" s="28"/>
      <c r="AC272" s="997"/>
      <c r="AD272" s="536"/>
    </row>
    <row r="273" spans="6:30" ht="10.5" customHeight="1">
      <c r="F273" s="587"/>
      <c r="G273" s="1079" t="s">
        <v>1114</v>
      </c>
      <c r="H273" s="1079" t="s">
        <v>1322</v>
      </c>
      <c r="I273" s="1080" t="s">
        <v>1115</v>
      </c>
      <c r="J273" s="1080" t="s">
        <v>2628</v>
      </c>
      <c r="K273" s="1081" t="s">
        <v>1797</v>
      </c>
      <c r="L273" s="1082" t="s">
        <v>425</v>
      </c>
      <c r="M273" s="2902" t="s">
        <v>2615</v>
      </c>
      <c r="N273" s="2902" t="s">
        <v>167</v>
      </c>
      <c r="O273" s="2901" t="s">
        <v>4472</v>
      </c>
      <c r="P273" s="586" t="s">
        <v>87</v>
      </c>
      <c r="Q273" s="301"/>
      <c r="R273" s="177"/>
      <c r="S273" s="403"/>
      <c r="T273" s="525" t="s">
        <v>2508</v>
      </c>
      <c r="U273" s="525" t="s">
        <v>115</v>
      </c>
      <c r="W273" s="446" t="s">
        <v>327</v>
      </c>
      <c r="X273" s="446" t="s">
        <v>3410</v>
      </c>
      <c r="AA273" s="28"/>
      <c r="AB273" s="28"/>
      <c r="AC273" s="997"/>
      <c r="AD273" s="536"/>
    </row>
    <row r="274" spans="6:30" ht="10.5" customHeight="1">
      <c r="F274" s="587"/>
      <c r="G274" s="1079" t="s">
        <v>1116</v>
      </c>
      <c r="H274" s="1079" t="s">
        <v>1222</v>
      </c>
      <c r="I274" s="1080" t="s">
        <v>1117</v>
      </c>
      <c r="J274" s="1080" t="s">
        <v>2628</v>
      </c>
      <c r="K274" s="1081" t="s">
        <v>1798</v>
      </c>
      <c r="L274" s="1082" t="s">
        <v>425</v>
      </c>
      <c r="M274" s="2902" t="s">
        <v>2615</v>
      </c>
      <c r="N274" s="2902" t="s">
        <v>1794</v>
      </c>
      <c r="O274" s="2901" t="s">
        <v>4473</v>
      </c>
      <c r="P274" s="586" t="s">
        <v>1238</v>
      </c>
      <c r="Q274" s="301"/>
      <c r="R274" s="177"/>
      <c r="S274" s="403"/>
      <c r="T274" s="525" t="s">
        <v>82</v>
      </c>
      <c r="U274" s="525" t="s">
        <v>198</v>
      </c>
      <c r="W274" s="446" t="s">
        <v>330</v>
      </c>
      <c r="X274" s="446" t="s">
        <v>3410</v>
      </c>
      <c r="AA274" s="28"/>
      <c r="AB274" s="28"/>
      <c r="AC274" s="997"/>
      <c r="AD274" s="536"/>
    </row>
    <row r="275" spans="6:30" ht="10.5" customHeight="1">
      <c r="F275" s="587"/>
      <c r="G275" s="1079" t="s">
        <v>1118</v>
      </c>
      <c r="H275" s="1079" t="s">
        <v>1808</v>
      </c>
      <c r="I275" s="1083" t="s">
        <v>772</v>
      </c>
      <c r="J275" s="1083" t="s">
        <v>2629</v>
      </c>
      <c r="K275" s="1081" t="s">
        <v>2614</v>
      </c>
      <c r="L275" s="1082" t="s">
        <v>426</v>
      </c>
      <c r="M275" s="2902" t="s">
        <v>1206</v>
      </c>
      <c r="N275" s="2902" t="s">
        <v>1341</v>
      </c>
      <c r="O275" s="2901" t="s">
        <v>4474</v>
      </c>
      <c r="P275" s="586" t="s">
        <v>1240</v>
      </c>
      <c r="Q275" s="301"/>
      <c r="R275" s="177"/>
      <c r="S275" s="403"/>
      <c r="T275" s="525" t="s">
        <v>86</v>
      </c>
      <c r="U275" s="525" t="s">
        <v>2198</v>
      </c>
      <c r="W275" s="446" t="s">
        <v>1768</v>
      </c>
      <c r="X275" s="446" t="s">
        <v>3410</v>
      </c>
      <c r="AA275" s="28"/>
      <c r="AB275" s="28"/>
      <c r="AC275" s="997"/>
      <c r="AD275" s="536"/>
    </row>
    <row r="276" spans="6:30" ht="10.5" customHeight="1">
      <c r="F276" s="587"/>
      <c r="G276" s="1079" t="s">
        <v>1119</v>
      </c>
      <c r="H276" s="1079" t="s">
        <v>1322</v>
      </c>
      <c r="I276" s="1083" t="s">
        <v>771</v>
      </c>
      <c r="J276" s="1083" t="s">
        <v>2629</v>
      </c>
      <c r="K276" s="1081" t="s">
        <v>2592</v>
      </c>
      <c r="L276" s="1082" t="s">
        <v>426</v>
      </c>
      <c r="M276" s="2900" t="s">
        <v>1206</v>
      </c>
      <c r="N276" s="2900" t="s">
        <v>1216</v>
      </c>
      <c r="O276" s="2901" t="s">
        <v>4475</v>
      </c>
      <c r="P276" s="586" t="s">
        <v>1242</v>
      </c>
      <c r="Q276" s="301"/>
      <c r="R276" s="177"/>
      <c r="S276" s="403"/>
      <c r="T276" s="525" t="s">
        <v>88</v>
      </c>
      <c r="U276" s="525" t="s">
        <v>1332</v>
      </c>
      <c r="W276" s="446" t="s">
        <v>697</v>
      </c>
      <c r="X276" s="446" t="s">
        <v>3410</v>
      </c>
      <c r="AA276" s="28"/>
      <c r="AB276" s="28"/>
      <c r="AC276" s="997"/>
      <c r="AD276" s="536"/>
    </row>
    <row r="277" spans="6:30" ht="10.5" customHeight="1">
      <c r="F277" s="587"/>
      <c r="G277" s="1079" t="s">
        <v>1120</v>
      </c>
      <c r="H277" s="1079" t="s">
        <v>1322</v>
      </c>
      <c r="I277" s="1080" t="s">
        <v>2182</v>
      </c>
      <c r="J277" s="1080" t="s">
        <v>2628</v>
      </c>
      <c r="K277" s="1081" t="s">
        <v>1799</v>
      </c>
      <c r="L277" s="1082" t="s">
        <v>425</v>
      </c>
      <c r="M277" s="2902" t="s">
        <v>2615</v>
      </c>
      <c r="N277" s="2902" t="s">
        <v>162</v>
      </c>
      <c r="O277" s="2901" t="s">
        <v>4476</v>
      </c>
      <c r="P277" s="586" t="s">
        <v>1244</v>
      </c>
      <c r="Q277" s="301"/>
      <c r="R277" s="177"/>
      <c r="S277" s="403"/>
      <c r="T277" s="525" t="s">
        <v>1239</v>
      </c>
      <c r="U277" s="525" t="s">
        <v>1964</v>
      </c>
      <c r="W277" s="446" t="s">
        <v>2368</v>
      </c>
      <c r="X277" s="446" t="s">
        <v>3410</v>
      </c>
      <c r="AA277" s="28"/>
      <c r="AB277" s="28"/>
      <c r="AC277" s="997"/>
      <c r="AD277" s="536"/>
    </row>
    <row r="278" spans="6:30" ht="10.5" customHeight="1">
      <c r="F278" s="587"/>
      <c r="G278" s="1079" t="s">
        <v>2183</v>
      </c>
      <c r="H278" s="1079" t="s">
        <v>1222</v>
      </c>
      <c r="I278" s="1080" t="s">
        <v>2184</v>
      </c>
      <c r="J278" s="1080" t="s">
        <v>2628</v>
      </c>
      <c r="K278" s="1081" t="s">
        <v>1800</v>
      </c>
      <c r="L278" s="1082" t="s">
        <v>425</v>
      </c>
      <c r="M278" s="2902" t="s">
        <v>2615</v>
      </c>
      <c r="N278" s="2902" t="s">
        <v>1337</v>
      </c>
      <c r="O278" s="2901" t="s">
        <v>4477</v>
      </c>
      <c r="P278" s="586" t="s">
        <v>1246</v>
      </c>
      <c r="Q278" s="301"/>
      <c r="R278" s="177"/>
      <c r="S278" s="403"/>
      <c r="T278" s="525" t="s">
        <v>1241</v>
      </c>
      <c r="U278" s="525" t="s">
        <v>180</v>
      </c>
      <c r="W278" s="446" t="s">
        <v>479</v>
      </c>
      <c r="X278" s="446" t="s">
        <v>3410</v>
      </c>
      <c r="AA278" s="28"/>
      <c r="AB278" s="28"/>
      <c r="AC278" s="997"/>
      <c r="AD278" s="536"/>
    </row>
    <row r="279" spans="6:30" ht="10.5" customHeight="1">
      <c r="F279" s="587"/>
      <c r="G279" s="1079" t="s">
        <v>1619</v>
      </c>
      <c r="H279" s="1079" t="s">
        <v>1619</v>
      </c>
      <c r="I279" s="1079" t="s">
        <v>1619</v>
      </c>
      <c r="J279" s="1080"/>
      <c r="K279" s="1081"/>
      <c r="L279" s="1082"/>
      <c r="M279" s="1079" t="s">
        <v>1619</v>
      </c>
      <c r="N279" s="1079" t="s">
        <v>1619</v>
      </c>
      <c r="O279" s="2901" t="s">
        <v>4478</v>
      </c>
      <c r="P279" s="586" t="s">
        <v>1248</v>
      </c>
      <c r="Q279" s="301"/>
      <c r="R279" s="177"/>
      <c r="S279" s="403"/>
      <c r="T279" s="525" t="s">
        <v>1243</v>
      </c>
      <c r="U279" s="525" t="s">
        <v>1116</v>
      </c>
      <c r="W279" s="446" t="s">
        <v>3403</v>
      </c>
      <c r="X279" s="446" t="s">
        <v>3410</v>
      </c>
      <c r="AA279" s="28"/>
      <c r="AB279" s="28"/>
      <c r="AC279" s="997"/>
      <c r="AD279" s="536"/>
    </row>
    <row r="280" spans="6:30" ht="10.5" customHeight="1">
      <c r="F280" s="587"/>
      <c r="G280" s="1079" t="s">
        <v>2185</v>
      </c>
      <c r="H280" s="1079" t="s">
        <v>1222</v>
      </c>
      <c r="I280" s="1083" t="s">
        <v>2186</v>
      </c>
      <c r="J280" s="1080" t="s">
        <v>2628</v>
      </c>
      <c r="K280" s="1081" t="s">
        <v>460</v>
      </c>
      <c r="L280" s="1082" t="s">
        <v>425</v>
      </c>
      <c r="M280" s="2902" t="s">
        <v>2615</v>
      </c>
      <c r="N280" s="2902" t="s">
        <v>1794</v>
      </c>
      <c r="O280" s="2901" t="s">
        <v>4479</v>
      </c>
      <c r="P280" s="586" t="s">
        <v>899</v>
      </c>
      <c r="Q280" s="301"/>
      <c r="R280" s="177"/>
      <c r="S280" s="403"/>
      <c r="T280" s="292" t="s">
        <v>1245</v>
      </c>
      <c r="U280" s="292" t="s">
        <v>1217</v>
      </c>
      <c r="W280" s="446" t="s">
        <v>3404</v>
      </c>
      <c r="X280" s="446" t="s">
        <v>3410</v>
      </c>
      <c r="AA280" s="28"/>
      <c r="AB280" s="28"/>
      <c r="AC280" s="997"/>
      <c r="AD280" s="536"/>
    </row>
    <row r="281" spans="6:30" ht="10.5" customHeight="1">
      <c r="F281" s="587"/>
      <c r="G281" s="1079" t="s">
        <v>2187</v>
      </c>
      <c r="H281" s="1079" t="s">
        <v>1322</v>
      </c>
      <c r="I281" s="1083" t="s">
        <v>771</v>
      </c>
      <c r="J281" s="1083" t="s">
        <v>2629</v>
      </c>
      <c r="K281" s="1081" t="s">
        <v>2592</v>
      </c>
      <c r="L281" s="1082" t="s">
        <v>426</v>
      </c>
      <c r="M281" s="2900" t="s">
        <v>1206</v>
      </c>
      <c r="N281" s="2902" t="s">
        <v>1216</v>
      </c>
      <c r="O281" s="2901" t="s">
        <v>4480</v>
      </c>
      <c r="P281" s="586" t="s">
        <v>900</v>
      </c>
      <c r="Q281" s="301"/>
      <c r="R281" s="177"/>
      <c r="S281" s="403"/>
      <c r="T281" s="525" t="s">
        <v>1247</v>
      </c>
      <c r="U281" s="525" t="s">
        <v>2198</v>
      </c>
      <c r="W281" s="446" t="s">
        <v>79</v>
      </c>
      <c r="X281" s="446" t="s">
        <v>3410</v>
      </c>
      <c r="AA281" s="28"/>
      <c r="AB281" s="28"/>
      <c r="AC281" s="536"/>
      <c r="AD281" s="536"/>
    </row>
    <row r="282" spans="6:30" ht="10.5" customHeight="1">
      <c r="F282" s="587"/>
      <c r="G282" s="1079" t="s">
        <v>2188</v>
      </c>
      <c r="H282" s="1079" t="s">
        <v>1322</v>
      </c>
      <c r="I282" s="1083" t="s">
        <v>2189</v>
      </c>
      <c r="J282" s="1083" t="s">
        <v>2628</v>
      </c>
      <c r="K282" s="1081" t="s">
        <v>223</v>
      </c>
      <c r="L282" s="1082" t="s">
        <v>425</v>
      </c>
      <c r="M282" s="2902" t="s">
        <v>2615</v>
      </c>
      <c r="N282" s="2900" t="s">
        <v>167</v>
      </c>
      <c r="O282" s="2901" t="s">
        <v>4481</v>
      </c>
      <c r="P282" s="586" t="s">
        <v>902</v>
      </c>
      <c r="Q282" s="301"/>
      <c r="R282" s="177"/>
      <c r="S282" s="403"/>
      <c r="T282" s="525" t="s">
        <v>2504</v>
      </c>
      <c r="U282" s="525" t="s">
        <v>1643</v>
      </c>
      <c r="W282" s="446" t="s">
        <v>2428</v>
      </c>
      <c r="X282" s="446" t="s">
        <v>3410</v>
      </c>
      <c r="AA282" s="28"/>
      <c r="AB282" s="28"/>
      <c r="AC282" s="997"/>
      <c r="AD282" s="536"/>
    </row>
    <row r="283" spans="6:30" ht="10.5" customHeight="1">
      <c r="F283" s="587"/>
      <c r="G283" s="1079" t="s">
        <v>2190</v>
      </c>
      <c r="H283" s="1079" t="s">
        <v>1222</v>
      </c>
      <c r="I283" s="1080" t="s">
        <v>2191</v>
      </c>
      <c r="J283" s="1083" t="s">
        <v>2628</v>
      </c>
      <c r="K283" s="1081" t="s">
        <v>1432</v>
      </c>
      <c r="L283" s="1082" t="s">
        <v>425</v>
      </c>
      <c r="M283" s="2902" t="s">
        <v>2615</v>
      </c>
      <c r="N283" s="2902" t="s">
        <v>162</v>
      </c>
      <c r="O283" s="2901" t="s">
        <v>4482</v>
      </c>
      <c r="P283" s="586" t="s">
        <v>904</v>
      </c>
      <c r="Q283" s="301"/>
      <c r="R283" s="177"/>
      <c r="S283" s="403"/>
      <c r="T283" s="525" t="s">
        <v>162</v>
      </c>
      <c r="U283" s="525" t="s">
        <v>2604</v>
      </c>
      <c r="W283" s="446" t="s">
        <v>618</v>
      </c>
      <c r="X283" s="446" t="s">
        <v>3410</v>
      </c>
      <c r="AA283" s="28"/>
      <c r="AB283" s="28"/>
      <c r="AC283" s="997"/>
      <c r="AD283" s="536"/>
    </row>
    <row r="284" spans="6:30" ht="10.5" customHeight="1">
      <c r="F284" s="587"/>
      <c r="G284" s="1079" t="s">
        <v>2192</v>
      </c>
      <c r="H284" s="1079" t="s">
        <v>1222</v>
      </c>
      <c r="I284" s="1080" t="s">
        <v>2193</v>
      </c>
      <c r="J284" s="1080" t="s">
        <v>2628</v>
      </c>
      <c r="K284" s="1081" t="s">
        <v>1433</v>
      </c>
      <c r="L284" s="1082" t="s">
        <v>425</v>
      </c>
      <c r="M284" s="2902" t="s">
        <v>2615</v>
      </c>
      <c r="N284" s="2902" t="s">
        <v>1794</v>
      </c>
      <c r="O284" s="2901" t="s">
        <v>4483</v>
      </c>
      <c r="P284" s="586" t="s">
        <v>2153</v>
      </c>
      <c r="Q284" s="301"/>
      <c r="R284" s="177"/>
      <c r="S284" s="403"/>
      <c r="T284" s="525" t="s">
        <v>901</v>
      </c>
      <c r="U284" s="525" t="s">
        <v>180</v>
      </c>
      <c r="W284" s="446" t="s">
        <v>975</v>
      </c>
      <c r="X284" s="446" t="s">
        <v>3410</v>
      </c>
      <c r="AA284" s="28"/>
      <c r="AB284" s="28"/>
      <c r="AC284" s="997"/>
      <c r="AD284" s="536"/>
    </row>
    <row r="285" spans="6:30" ht="10.5" customHeight="1">
      <c r="F285" s="587"/>
      <c r="G285" s="1079" t="s">
        <v>2194</v>
      </c>
      <c r="H285" s="1079" t="s">
        <v>1322</v>
      </c>
      <c r="I285" s="1080" t="s">
        <v>2195</v>
      </c>
      <c r="J285" s="1080" t="s">
        <v>2628</v>
      </c>
      <c r="K285" s="1081" t="s">
        <v>1434</v>
      </c>
      <c r="L285" s="1082" t="s">
        <v>425</v>
      </c>
      <c r="M285" s="2902" t="s">
        <v>2615</v>
      </c>
      <c r="N285" s="2902" t="s">
        <v>162</v>
      </c>
      <c r="O285" s="2901" t="s">
        <v>4484</v>
      </c>
      <c r="P285" s="586" t="s">
        <v>2154</v>
      </c>
      <c r="Q285" s="301"/>
      <c r="R285" s="177"/>
      <c r="S285" s="403"/>
      <c r="T285" s="525" t="s">
        <v>903</v>
      </c>
      <c r="U285" s="525" t="s">
        <v>325</v>
      </c>
      <c r="W285" s="446" t="s">
        <v>1503</v>
      </c>
      <c r="X285" s="446" t="s">
        <v>3410</v>
      </c>
      <c r="AA285" s="28"/>
      <c r="AB285" s="28"/>
      <c r="AC285" s="997"/>
      <c r="AD285" s="536"/>
    </row>
    <row r="286" spans="6:30" ht="10.5" customHeight="1">
      <c r="F286" s="587"/>
      <c r="G286" s="1079" t="s">
        <v>2196</v>
      </c>
      <c r="H286" s="1079" t="s">
        <v>1322</v>
      </c>
      <c r="I286" s="1080" t="s">
        <v>2197</v>
      </c>
      <c r="J286" s="1080" t="s">
        <v>2628</v>
      </c>
      <c r="K286" s="1081" t="s">
        <v>2027</v>
      </c>
      <c r="L286" s="1082" t="s">
        <v>425</v>
      </c>
      <c r="M286" s="2902" t="s">
        <v>2615</v>
      </c>
      <c r="N286" s="2902" t="s">
        <v>167</v>
      </c>
      <c r="O286" s="2901" t="s">
        <v>4485</v>
      </c>
      <c r="P286" s="586" t="s">
        <v>2070</v>
      </c>
      <c r="Q286" s="301"/>
      <c r="R286" s="177"/>
      <c r="S286" s="403"/>
      <c r="T286" s="292" t="s">
        <v>905</v>
      </c>
      <c r="U286" s="292" t="s">
        <v>1105</v>
      </c>
      <c r="W286" s="446" t="s">
        <v>2352</v>
      </c>
      <c r="X286" s="446" t="s">
        <v>3410</v>
      </c>
      <c r="AA286" s="28"/>
      <c r="AB286" s="28"/>
      <c r="AC286" s="997"/>
      <c r="AD286" s="536"/>
    </row>
    <row r="287" spans="6:30" ht="10.5" customHeight="1">
      <c r="F287" s="587"/>
      <c r="G287" s="1079" t="s">
        <v>2198</v>
      </c>
      <c r="H287" s="1079" t="s">
        <v>1222</v>
      </c>
      <c r="I287" s="1080" t="s">
        <v>2199</v>
      </c>
      <c r="J287" s="1080" t="s">
        <v>2628</v>
      </c>
      <c r="K287" s="1081" t="s">
        <v>2028</v>
      </c>
      <c r="L287" s="1082" t="s">
        <v>425</v>
      </c>
      <c r="M287" s="2902" t="s">
        <v>2615</v>
      </c>
      <c r="N287" s="2902" t="s">
        <v>1337</v>
      </c>
      <c r="O287" s="2901" t="s">
        <v>4486</v>
      </c>
      <c r="P287" s="586" t="s">
        <v>2072</v>
      </c>
      <c r="Q287" s="301"/>
      <c r="R287" s="177"/>
      <c r="S287" s="403"/>
      <c r="T287" s="525" t="s">
        <v>2582</v>
      </c>
      <c r="U287" s="525" t="s">
        <v>2498</v>
      </c>
      <c r="W287" s="446" t="s">
        <v>828</v>
      </c>
      <c r="X287" s="446" t="s">
        <v>3410</v>
      </c>
      <c r="AA287" s="28"/>
      <c r="AB287" s="28"/>
      <c r="AC287" s="536"/>
      <c r="AD287" s="536"/>
    </row>
    <row r="288" spans="6:30" ht="10.5" customHeight="1">
      <c r="F288" s="587"/>
      <c r="G288" s="1079" t="s">
        <v>2200</v>
      </c>
      <c r="H288" s="1079" t="s">
        <v>1322</v>
      </c>
      <c r="I288" s="1080" t="s">
        <v>878</v>
      </c>
      <c r="J288" s="1080" t="s">
        <v>2628</v>
      </c>
      <c r="K288" s="1081" t="s">
        <v>2029</v>
      </c>
      <c r="L288" s="1082" t="s">
        <v>425</v>
      </c>
      <c r="M288" s="2902" t="s">
        <v>2615</v>
      </c>
      <c r="N288" s="2902" t="s">
        <v>162</v>
      </c>
      <c r="O288" s="2901" t="s">
        <v>4487</v>
      </c>
      <c r="P288" s="586" t="s">
        <v>602</v>
      </c>
      <c r="Q288" s="301"/>
      <c r="R288" s="177"/>
      <c r="S288" s="403"/>
      <c r="T288" s="525" t="s">
        <v>2155</v>
      </c>
      <c r="U288" s="525" t="s">
        <v>1119</v>
      </c>
      <c r="W288" s="446" t="s">
        <v>831</v>
      </c>
      <c r="X288" s="446" t="s">
        <v>3410</v>
      </c>
      <c r="AA288" s="28"/>
      <c r="AB288" s="28"/>
      <c r="AC288" s="997"/>
      <c r="AD288" s="536"/>
    </row>
    <row r="289" spans="6:30" ht="10.5" customHeight="1">
      <c r="F289" s="587"/>
      <c r="G289" s="1079" t="s">
        <v>879</v>
      </c>
      <c r="H289" s="1079" t="s">
        <v>1222</v>
      </c>
      <c r="I289" s="1080" t="s">
        <v>880</v>
      </c>
      <c r="J289" s="1080" t="s">
        <v>2628</v>
      </c>
      <c r="K289" s="1081" t="s">
        <v>2030</v>
      </c>
      <c r="L289" s="1082" t="s">
        <v>425</v>
      </c>
      <c r="M289" s="2902" t="s">
        <v>2615</v>
      </c>
      <c r="N289" s="2902" t="s">
        <v>1794</v>
      </c>
      <c r="O289" s="2901" t="s">
        <v>4488</v>
      </c>
      <c r="P289" s="586" t="s">
        <v>603</v>
      </c>
      <c r="Q289" s="301"/>
      <c r="R289" s="177"/>
      <c r="S289" s="403"/>
      <c r="T289" s="525" t="s">
        <v>2071</v>
      </c>
      <c r="U289" s="525" t="s">
        <v>1678</v>
      </c>
      <c r="W289" s="446" t="s">
        <v>1520</v>
      </c>
      <c r="X289" s="446" t="s">
        <v>3410</v>
      </c>
      <c r="AA289" s="28"/>
      <c r="AB289" s="28"/>
      <c r="AC289" s="997"/>
      <c r="AD289" s="536"/>
    </row>
    <row r="290" spans="6:30" ht="10.5" customHeight="1">
      <c r="F290" s="587"/>
      <c r="G290" s="1079" t="s">
        <v>1677</v>
      </c>
      <c r="H290" s="1079" t="s">
        <v>1222</v>
      </c>
      <c r="I290" s="1083" t="s">
        <v>1794</v>
      </c>
      <c r="J290" s="1080" t="s">
        <v>2629</v>
      </c>
      <c r="K290" s="1081" t="s">
        <v>1170</v>
      </c>
      <c r="L290" s="1082" t="s">
        <v>426</v>
      </c>
      <c r="M290" s="2900" t="s">
        <v>2615</v>
      </c>
      <c r="N290" s="2902" t="s">
        <v>1794</v>
      </c>
      <c r="O290" s="2901" t="s">
        <v>4489</v>
      </c>
      <c r="P290" s="586" t="s">
        <v>605</v>
      </c>
      <c r="Q290" s="301"/>
      <c r="R290" s="177"/>
      <c r="S290" s="403"/>
      <c r="T290" s="525" t="s">
        <v>2073</v>
      </c>
      <c r="U290" s="525" t="s">
        <v>2549</v>
      </c>
      <c r="W290" s="446" t="s">
        <v>487</v>
      </c>
      <c r="X290" s="446" t="s">
        <v>3410</v>
      </c>
      <c r="AA290" s="28"/>
      <c r="AB290" s="28"/>
      <c r="AC290" s="997"/>
      <c r="AD290" s="536"/>
    </row>
    <row r="291" spans="6:30" ht="10.5" customHeight="1">
      <c r="F291" s="587"/>
      <c r="G291" s="1079" t="s">
        <v>1678</v>
      </c>
      <c r="H291" s="1079" t="s">
        <v>1222</v>
      </c>
      <c r="I291" s="1083" t="s">
        <v>1679</v>
      </c>
      <c r="J291" s="1083" t="s">
        <v>2628</v>
      </c>
      <c r="K291" s="1081" t="s">
        <v>2031</v>
      </c>
      <c r="L291" s="1082" t="s">
        <v>425</v>
      </c>
      <c r="M291" s="2902" t="s">
        <v>2615</v>
      </c>
      <c r="N291" s="2900" t="s">
        <v>1708</v>
      </c>
      <c r="O291" s="2901" t="s">
        <v>4490</v>
      </c>
      <c r="P291" s="586" t="s">
        <v>607</v>
      </c>
      <c r="Q291" s="301"/>
      <c r="R291" s="177"/>
      <c r="S291" s="403"/>
      <c r="T291" s="525" t="s">
        <v>833</v>
      </c>
      <c r="U291" s="525" t="s">
        <v>320</v>
      </c>
      <c r="W291" s="446" t="s">
        <v>1404</v>
      </c>
      <c r="X291" s="446" t="s">
        <v>3410</v>
      </c>
      <c r="AA291" s="28"/>
      <c r="AB291" s="28"/>
      <c r="AC291" s="997"/>
      <c r="AD291" s="536"/>
    </row>
    <row r="292" spans="6:30" ht="10.5" customHeight="1">
      <c r="F292" s="587"/>
      <c r="G292" s="1079" t="s">
        <v>1680</v>
      </c>
      <c r="H292" s="1079" t="s">
        <v>1222</v>
      </c>
      <c r="I292" s="1083" t="s">
        <v>1922</v>
      </c>
      <c r="J292" s="1083" t="s">
        <v>2628</v>
      </c>
      <c r="K292" s="1081" t="s">
        <v>1175</v>
      </c>
      <c r="L292" s="1082" t="s">
        <v>425</v>
      </c>
      <c r="M292" s="2902" t="s">
        <v>2615</v>
      </c>
      <c r="N292" s="2902" t="s">
        <v>1794</v>
      </c>
      <c r="O292" s="2901" t="s">
        <v>4491</v>
      </c>
      <c r="P292" s="586" t="s">
        <v>608</v>
      </c>
      <c r="Q292" s="301"/>
      <c r="R292" s="177"/>
      <c r="S292" s="403"/>
      <c r="T292" s="525" t="s">
        <v>604</v>
      </c>
      <c r="U292" s="525" t="s">
        <v>123</v>
      </c>
      <c r="W292" s="446" t="s">
        <v>1406</v>
      </c>
      <c r="X292" s="446" t="s">
        <v>3410</v>
      </c>
      <c r="AA292" s="28"/>
      <c r="AB292" s="28"/>
      <c r="AC292" s="997"/>
      <c r="AD292" s="1000"/>
    </row>
    <row r="293" spans="6:30" ht="10.5" customHeight="1">
      <c r="F293" s="587"/>
      <c r="G293" s="1079" t="s">
        <v>1923</v>
      </c>
      <c r="H293" s="1079" t="s">
        <v>1222</v>
      </c>
      <c r="I293" s="1083" t="s">
        <v>1924</v>
      </c>
      <c r="J293" s="1083" t="s">
        <v>2628</v>
      </c>
      <c r="K293" s="1081" t="s">
        <v>1176</v>
      </c>
      <c r="L293" s="1082" t="s">
        <v>425</v>
      </c>
      <c r="M293" s="2902" t="s">
        <v>2615</v>
      </c>
      <c r="N293" s="2902" t="s">
        <v>1337</v>
      </c>
      <c r="O293" s="2901" t="s">
        <v>4492</v>
      </c>
      <c r="P293" s="586" t="s">
        <v>609</v>
      </c>
      <c r="Q293" s="301"/>
      <c r="R293" s="177"/>
      <c r="S293" s="403"/>
      <c r="T293" s="525" t="s">
        <v>2583</v>
      </c>
      <c r="U293" s="525" t="s">
        <v>1338</v>
      </c>
      <c r="W293" s="446" t="s">
        <v>2507</v>
      </c>
      <c r="X293" s="446" t="s">
        <v>3410</v>
      </c>
      <c r="AA293" s="28"/>
      <c r="AB293" s="28"/>
      <c r="AC293" s="997"/>
      <c r="AD293" s="536"/>
    </row>
    <row r="294" spans="6:30" ht="10.5" customHeight="1">
      <c r="F294" s="587"/>
      <c r="G294" s="1079" t="s">
        <v>1925</v>
      </c>
      <c r="H294" s="1079" t="s">
        <v>1322</v>
      </c>
      <c r="I294" s="1083" t="s">
        <v>1926</v>
      </c>
      <c r="J294" s="1083" t="s">
        <v>2628</v>
      </c>
      <c r="K294" s="1081" t="s">
        <v>1177</v>
      </c>
      <c r="L294" s="1082" t="s">
        <v>425</v>
      </c>
      <c r="M294" s="2902" t="s">
        <v>2615</v>
      </c>
      <c r="N294" s="2902" t="s">
        <v>167</v>
      </c>
      <c r="O294" s="2901" t="s">
        <v>4493</v>
      </c>
      <c r="P294" s="586" t="s">
        <v>611</v>
      </c>
      <c r="Q294" s="301"/>
      <c r="R294" s="177"/>
      <c r="S294" s="403"/>
      <c r="T294" s="525" t="s">
        <v>606</v>
      </c>
      <c r="U294" s="525" t="s">
        <v>2605</v>
      </c>
      <c r="W294" s="446" t="s">
        <v>1066</v>
      </c>
      <c r="X294" s="446" t="s">
        <v>3410</v>
      </c>
      <c r="AA294" s="28"/>
      <c r="AB294" s="28"/>
      <c r="AC294" s="997"/>
      <c r="AD294" s="536"/>
    </row>
    <row r="295" spans="6:30" ht="10.5" customHeight="1">
      <c r="F295" s="587"/>
      <c r="G295" s="1079" t="s">
        <v>1927</v>
      </c>
      <c r="H295" s="1079" t="s">
        <v>1222</v>
      </c>
      <c r="I295" s="1083" t="s">
        <v>1928</v>
      </c>
      <c r="J295" s="1083" t="s">
        <v>2628</v>
      </c>
      <c r="K295" s="1081" t="s">
        <v>1178</v>
      </c>
      <c r="L295" s="1082" t="s">
        <v>425</v>
      </c>
      <c r="M295" s="2902" t="s">
        <v>2615</v>
      </c>
      <c r="N295" s="2902" t="s">
        <v>1331</v>
      </c>
      <c r="O295" s="2901" t="s">
        <v>4494</v>
      </c>
      <c r="P295" s="586" t="s">
        <v>613</v>
      </c>
      <c r="Q295" s="301"/>
      <c r="R295" s="177"/>
      <c r="S295" s="403"/>
      <c r="T295" s="525" t="s">
        <v>2548</v>
      </c>
      <c r="U295" s="525" t="s">
        <v>2607</v>
      </c>
      <c r="W295" s="446" t="s">
        <v>1331</v>
      </c>
      <c r="X295" s="446" t="s">
        <v>3410</v>
      </c>
      <c r="AA295" s="28"/>
      <c r="AB295" s="28"/>
      <c r="AC295" s="997"/>
      <c r="AD295" s="536"/>
    </row>
    <row r="296" spans="6:30" ht="10.5" customHeight="1">
      <c r="F296" s="587"/>
      <c r="G296" s="1079" t="s">
        <v>1929</v>
      </c>
      <c r="H296" s="1079" t="s">
        <v>1322</v>
      </c>
      <c r="I296" s="1080" t="s">
        <v>1930</v>
      </c>
      <c r="J296" s="1083" t="s">
        <v>2628</v>
      </c>
      <c r="K296" s="1081" t="s">
        <v>1179</v>
      </c>
      <c r="L296" s="1082" t="s">
        <v>425</v>
      </c>
      <c r="M296" s="2902" t="s">
        <v>2615</v>
      </c>
      <c r="N296" s="2902" t="s">
        <v>1216</v>
      </c>
      <c r="O296" s="2901" t="s">
        <v>4495</v>
      </c>
      <c r="P296" s="586" t="s">
        <v>551</v>
      </c>
      <c r="Q296" s="301"/>
      <c r="R296" s="177"/>
      <c r="S296" s="403"/>
      <c r="T296" s="525" t="s">
        <v>610</v>
      </c>
      <c r="U296" s="525" t="s">
        <v>2196</v>
      </c>
      <c r="W296" s="446" t="s">
        <v>180</v>
      </c>
      <c r="X296" s="446" t="s">
        <v>3410</v>
      </c>
      <c r="AA296" s="28"/>
      <c r="AB296" s="28"/>
      <c r="AC296" s="997"/>
      <c r="AD296" s="536"/>
    </row>
    <row r="297" spans="6:30" ht="10.5" customHeight="1">
      <c r="F297" s="587"/>
      <c r="G297" s="1079" t="s">
        <v>1931</v>
      </c>
      <c r="H297" s="1079" t="s">
        <v>1222</v>
      </c>
      <c r="I297" s="1083" t="s">
        <v>1932</v>
      </c>
      <c r="J297" s="1080" t="s">
        <v>2628</v>
      </c>
      <c r="K297" s="1081" t="s">
        <v>1180</v>
      </c>
      <c r="L297" s="1082" t="s">
        <v>425</v>
      </c>
      <c r="M297" s="2902" t="s">
        <v>2615</v>
      </c>
      <c r="N297" s="2902" t="s">
        <v>1794</v>
      </c>
      <c r="O297" s="2901" t="s">
        <v>4496</v>
      </c>
      <c r="P297" s="586" t="s">
        <v>1165</v>
      </c>
      <c r="Q297" s="301"/>
      <c r="R297" s="177"/>
      <c r="S297" s="403"/>
      <c r="T297" s="525" t="s">
        <v>2871</v>
      </c>
      <c r="U297" s="525" t="s">
        <v>1110</v>
      </c>
      <c r="W297" s="446" t="s">
        <v>1586</v>
      </c>
      <c r="X297" s="446" t="s">
        <v>3410</v>
      </c>
      <c r="AA297" s="28"/>
      <c r="AB297" s="28"/>
      <c r="AC297" s="997"/>
      <c r="AD297" s="536"/>
    </row>
    <row r="298" spans="6:30" ht="10.5" customHeight="1">
      <c r="F298" s="587"/>
      <c r="G298" s="1079" t="s">
        <v>1933</v>
      </c>
      <c r="H298" s="1079" t="s">
        <v>1322</v>
      </c>
      <c r="I298" s="1083" t="s">
        <v>1331</v>
      </c>
      <c r="J298" s="1083" t="s">
        <v>2629</v>
      </c>
      <c r="K298" s="1081" t="s">
        <v>2595</v>
      </c>
      <c r="L298" s="1082" t="s">
        <v>426</v>
      </c>
      <c r="M298" s="2900" t="s">
        <v>2615</v>
      </c>
      <c r="N298" s="2902" t="s">
        <v>1331</v>
      </c>
      <c r="O298" s="2901" t="s">
        <v>4497</v>
      </c>
      <c r="P298" s="586" t="s">
        <v>754</v>
      </c>
      <c r="Q298" s="301"/>
      <c r="R298" s="177"/>
      <c r="S298" s="403"/>
      <c r="T298" s="525" t="s">
        <v>612</v>
      </c>
      <c r="U298" s="525" t="s">
        <v>1647</v>
      </c>
      <c r="W298" s="446" t="s">
        <v>379</v>
      </c>
      <c r="X298" s="446" t="s">
        <v>3410</v>
      </c>
      <c r="AA298" s="28"/>
      <c r="AB298" s="28"/>
      <c r="AC298" s="997"/>
      <c r="AD298" s="536"/>
    </row>
    <row r="299" spans="6:30" ht="10.5" customHeight="1">
      <c r="F299" s="587"/>
      <c r="G299" s="1079" t="s">
        <v>1934</v>
      </c>
      <c r="H299" s="1079" t="s">
        <v>1322</v>
      </c>
      <c r="I299" s="1083" t="s">
        <v>1935</v>
      </c>
      <c r="J299" s="1083" t="s">
        <v>2628</v>
      </c>
      <c r="K299" s="1081" t="s">
        <v>1181</v>
      </c>
      <c r="L299" s="1082" t="s">
        <v>425</v>
      </c>
      <c r="M299" s="2902" t="s">
        <v>2615</v>
      </c>
      <c r="N299" s="2900" t="s">
        <v>167</v>
      </c>
      <c r="O299" s="2901" t="s">
        <v>4498</v>
      </c>
      <c r="P299" s="586" t="s">
        <v>37</v>
      </c>
      <c r="Q299" s="301"/>
      <c r="R299" s="177"/>
      <c r="S299" s="403"/>
      <c r="T299" s="525" t="s">
        <v>550</v>
      </c>
      <c r="U299" s="525" t="s">
        <v>664</v>
      </c>
      <c r="W299" s="446" t="s">
        <v>381</v>
      </c>
      <c r="X299" s="446" t="s">
        <v>3410</v>
      </c>
      <c r="AA299" s="28"/>
      <c r="AB299" s="28"/>
      <c r="AC299" s="997"/>
      <c r="AD299" s="536"/>
    </row>
    <row r="300" spans="6:30" ht="10.5" customHeight="1">
      <c r="F300" s="587"/>
      <c r="G300" s="1079" t="s">
        <v>2020</v>
      </c>
      <c r="H300" s="1079" t="s">
        <v>1322</v>
      </c>
      <c r="I300" s="1080" t="s">
        <v>2021</v>
      </c>
      <c r="J300" s="1083" t="s">
        <v>2628</v>
      </c>
      <c r="K300" s="1081" t="s">
        <v>1182</v>
      </c>
      <c r="L300" s="1082" t="s">
        <v>425</v>
      </c>
      <c r="M300" s="2902" t="s">
        <v>2615</v>
      </c>
      <c r="N300" s="2902" t="s">
        <v>1216</v>
      </c>
      <c r="O300" s="2901" t="s">
        <v>4499</v>
      </c>
      <c r="P300" s="586" t="s">
        <v>1979</v>
      </c>
      <c r="Q300" s="301"/>
      <c r="R300" s="177"/>
      <c r="S300" s="403"/>
      <c r="T300" s="525" t="s">
        <v>552</v>
      </c>
      <c r="U300" s="525" t="s">
        <v>161</v>
      </c>
      <c r="W300" s="446" t="s">
        <v>1618</v>
      </c>
      <c r="X300" s="446" t="s">
        <v>3410</v>
      </c>
      <c r="AA300" s="28"/>
      <c r="AB300" s="28"/>
      <c r="AC300" s="997"/>
      <c r="AD300" s="536"/>
    </row>
    <row r="301" spans="6:30" ht="10.5" customHeight="1">
      <c r="F301" s="587"/>
      <c r="G301" s="1079" t="s">
        <v>2022</v>
      </c>
      <c r="H301" s="1079" t="s">
        <v>1322</v>
      </c>
      <c r="I301" s="1083" t="s">
        <v>1532</v>
      </c>
      <c r="J301" s="1080" t="s">
        <v>2629</v>
      </c>
      <c r="K301" s="1081" t="s">
        <v>1692</v>
      </c>
      <c r="L301" s="1082" t="s">
        <v>426</v>
      </c>
      <c r="M301" s="2900" t="s">
        <v>2615</v>
      </c>
      <c r="N301" s="2902" t="s">
        <v>1532</v>
      </c>
      <c r="O301" s="2901" t="s">
        <v>4500</v>
      </c>
      <c r="P301" s="586" t="s">
        <v>1981</v>
      </c>
      <c r="Q301" s="301"/>
      <c r="R301" s="177"/>
      <c r="S301" s="403"/>
      <c r="T301" s="525" t="s">
        <v>753</v>
      </c>
      <c r="U301" s="525" t="s">
        <v>1116</v>
      </c>
      <c r="W301" s="446" t="s">
        <v>1097</v>
      </c>
      <c r="X301" s="446" t="s">
        <v>3410</v>
      </c>
      <c r="AA301" s="28"/>
      <c r="AB301" s="28"/>
      <c r="AC301" s="997"/>
      <c r="AD301" s="536"/>
    </row>
    <row r="302" spans="6:30" ht="10.5" customHeight="1">
      <c r="F302" s="587"/>
      <c r="G302" s="1079" t="s">
        <v>2023</v>
      </c>
      <c r="H302" s="1079" t="s">
        <v>1322</v>
      </c>
      <c r="I302" s="1083" t="s">
        <v>771</v>
      </c>
      <c r="J302" s="1083" t="s">
        <v>2629</v>
      </c>
      <c r="K302" s="1081" t="s">
        <v>2592</v>
      </c>
      <c r="L302" s="1082" t="s">
        <v>426</v>
      </c>
      <c r="M302" s="2900" t="s">
        <v>1206</v>
      </c>
      <c r="N302" s="2900" t="s">
        <v>1216</v>
      </c>
      <c r="O302" s="2901" t="s">
        <v>4501</v>
      </c>
      <c r="P302" s="586" t="s">
        <v>336</v>
      </c>
      <c r="Q302" s="301"/>
      <c r="R302" s="177"/>
      <c r="S302" s="403"/>
      <c r="T302" s="525" t="s">
        <v>755</v>
      </c>
      <c r="U302" s="525" t="s">
        <v>122</v>
      </c>
      <c r="W302" s="446" t="s">
        <v>3405</v>
      </c>
      <c r="X302" s="446" t="s">
        <v>3410</v>
      </c>
      <c r="AA302" s="28"/>
      <c r="AB302" s="28"/>
      <c r="AC302" s="997"/>
      <c r="AD302" s="536"/>
    </row>
    <row r="303" spans="6:30" ht="10.5" customHeight="1">
      <c r="F303" s="587"/>
      <c r="G303" s="1079" t="s">
        <v>2024</v>
      </c>
      <c r="H303" s="1079" t="s">
        <v>1222</v>
      </c>
      <c r="I303" s="1083" t="s">
        <v>104</v>
      </c>
      <c r="J303" s="1083" t="s">
        <v>2628</v>
      </c>
      <c r="K303" s="1081" t="s">
        <v>1183</v>
      </c>
      <c r="L303" s="1082" t="s">
        <v>425</v>
      </c>
      <c r="M303" s="2902" t="s">
        <v>2615</v>
      </c>
      <c r="N303" s="2900" t="s">
        <v>1708</v>
      </c>
      <c r="O303" s="2901" t="s">
        <v>4502</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1322</v>
      </c>
      <c r="I304" s="1083" t="s">
        <v>106</v>
      </c>
      <c r="J304" s="1083" t="s">
        <v>2628</v>
      </c>
      <c r="K304" s="1081" t="s">
        <v>1184</v>
      </c>
      <c r="L304" s="1082" t="s">
        <v>425</v>
      </c>
      <c r="M304" s="2902" t="s">
        <v>2615</v>
      </c>
      <c r="N304" s="2902" t="s">
        <v>1341</v>
      </c>
      <c r="O304" s="2901" t="s">
        <v>4503</v>
      </c>
      <c r="P304" s="586" t="s">
        <v>340</v>
      </c>
      <c r="Q304" s="301"/>
      <c r="R304" s="177"/>
      <c r="S304" s="403"/>
      <c r="T304" s="525" t="s">
        <v>1980</v>
      </c>
      <c r="U304" s="525" t="s">
        <v>2259</v>
      </c>
      <c r="W304" s="446" t="s">
        <v>525</v>
      </c>
      <c r="X304" s="446" t="s">
        <v>3410</v>
      </c>
      <c r="AA304" s="28"/>
      <c r="AB304" s="28"/>
      <c r="AC304" s="997"/>
      <c r="AD304" s="536"/>
    </row>
    <row r="305" spans="6:30" ht="10.5" customHeight="1">
      <c r="F305" s="587"/>
      <c r="G305" s="1079" t="s">
        <v>107</v>
      </c>
      <c r="H305" s="1079" t="s">
        <v>1322</v>
      </c>
      <c r="I305" s="1083" t="s">
        <v>108</v>
      </c>
      <c r="J305" s="1083" t="s">
        <v>2628</v>
      </c>
      <c r="K305" s="1081" t="s">
        <v>1185</v>
      </c>
      <c r="L305" s="1082" t="s">
        <v>425</v>
      </c>
      <c r="M305" s="2902" t="s">
        <v>2615</v>
      </c>
      <c r="N305" s="2902" t="s">
        <v>1331</v>
      </c>
      <c r="O305" s="2901" t="s">
        <v>4504</v>
      </c>
      <c r="P305" s="586" t="s">
        <v>342</v>
      </c>
      <c r="Q305" s="301"/>
      <c r="R305" s="177"/>
      <c r="S305" s="403"/>
      <c r="T305" s="525" t="s">
        <v>1982</v>
      </c>
      <c r="U305" s="525" t="s">
        <v>2608</v>
      </c>
      <c r="W305" s="446" t="s">
        <v>527</v>
      </c>
      <c r="X305" s="446" t="s">
        <v>3410</v>
      </c>
      <c r="AA305" s="28"/>
      <c r="AB305" s="28"/>
      <c r="AC305" s="997"/>
      <c r="AD305" s="536"/>
    </row>
    <row r="306" spans="6:30" ht="10.5" customHeight="1">
      <c r="F306" s="587"/>
      <c r="G306" s="1079" t="s">
        <v>109</v>
      </c>
      <c r="H306" s="1079" t="s">
        <v>1222</v>
      </c>
      <c r="I306" s="1083" t="s">
        <v>110</v>
      </c>
      <c r="J306" s="1083" t="s">
        <v>2628</v>
      </c>
      <c r="K306" s="1081" t="s">
        <v>1186</v>
      </c>
      <c r="L306" s="1082" t="s">
        <v>425</v>
      </c>
      <c r="M306" s="2902" t="s">
        <v>2615</v>
      </c>
      <c r="N306" s="2902" t="s">
        <v>1337</v>
      </c>
      <c r="O306" s="2901" t="s">
        <v>4505</v>
      </c>
      <c r="P306" s="586" t="s">
        <v>344</v>
      </c>
      <c r="Q306" s="301"/>
      <c r="R306" s="177"/>
      <c r="S306" s="403"/>
      <c r="T306" s="525" t="s">
        <v>337</v>
      </c>
      <c r="U306" s="525" t="s">
        <v>1964</v>
      </c>
      <c r="W306" s="446" t="s">
        <v>533</v>
      </c>
      <c r="X306" s="446" t="s">
        <v>3410</v>
      </c>
      <c r="AA306" s="28"/>
      <c r="AB306" s="28"/>
      <c r="AC306" s="997"/>
      <c r="AD306" s="536"/>
    </row>
    <row r="307" spans="6:30" ht="10.5" customHeight="1">
      <c r="F307" s="587"/>
      <c r="G307" s="1079" t="s">
        <v>111</v>
      </c>
      <c r="H307" s="1079" t="s">
        <v>1222</v>
      </c>
      <c r="I307" s="1083" t="s">
        <v>112</v>
      </c>
      <c r="J307" s="1083" t="s">
        <v>2628</v>
      </c>
      <c r="K307" s="1081" t="s">
        <v>1187</v>
      </c>
      <c r="L307" s="1082" t="s">
        <v>425</v>
      </c>
      <c r="M307" s="2902" t="s">
        <v>2615</v>
      </c>
      <c r="N307" s="2902" t="s">
        <v>162</v>
      </c>
      <c r="O307" s="2901" t="s">
        <v>4506</v>
      </c>
      <c r="P307" s="586" t="s">
        <v>346</v>
      </c>
      <c r="Q307" s="301"/>
      <c r="R307" s="177"/>
      <c r="S307" s="403"/>
      <c r="T307" s="525" t="s">
        <v>339</v>
      </c>
      <c r="U307" s="525" t="s">
        <v>882</v>
      </c>
      <c r="W307" s="446" t="s">
        <v>546</v>
      </c>
      <c r="X307" s="446" t="s">
        <v>3410</v>
      </c>
      <c r="AA307" s="28"/>
      <c r="AB307" s="28"/>
      <c r="AC307" s="997"/>
      <c r="AD307" s="536"/>
    </row>
    <row r="308" spans="6:30" ht="10.5" customHeight="1">
      <c r="F308" s="587"/>
      <c r="G308" s="1079" t="s">
        <v>113</v>
      </c>
      <c r="H308" s="1079" t="s">
        <v>1222</v>
      </c>
      <c r="I308" s="1083" t="s">
        <v>114</v>
      </c>
      <c r="J308" s="1083" t="s">
        <v>2628</v>
      </c>
      <c r="K308" s="1081" t="s">
        <v>2372</v>
      </c>
      <c r="L308" s="1082" t="s">
        <v>425</v>
      </c>
      <c r="M308" s="2902" t="s">
        <v>2615</v>
      </c>
      <c r="N308" s="2902" t="s">
        <v>1331</v>
      </c>
      <c r="O308" s="2901" t="s">
        <v>4507</v>
      </c>
      <c r="P308" s="586" t="s">
        <v>1954</v>
      </c>
      <c r="Q308" s="301"/>
      <c r="R308" s="177"/>
      <c r="S308" s="403"/>
      <c r="T308" s="525" t="s">
        <v>341</v>
      </c>
      <c r="U308" s="525" t="s">
        <v>180</v>
      </c>
      <c r="W308" s="446" t="s">
        <v>1647</v>
      </c>
      <c r="X308" s="446" t="s">
        <v>3410</v>
      </c>
      <c r="AA308" s="28"/>
      <c r="AB308" s="28"/>
      <c r="AC308" s="997"/>
      <c r="AD308" s="536"/>
    </row>
    <row r="309" spans="6:30" ht="10.5" customHeight="1">
      <c r="F309" s="587"/>
      <c r="G309" s="1079" t="s">
        <v>115</v>
      </c>
      <c r="H309" s="1079" t="s">
        <v>1322</v>
      </c>
      <c r="I309" s="1083" t="s">
        <v>116</v>
      </c>
      <c r="J309" s="1083" t="s">
        <v>2628</v>
      </c>
      <c r="K309" s="1081" t="s">
        <v>2373</v>
      </c>
      <c r="L309" s="1082" t="s">
        <v>425</v>
      </c>
      <c r="M309" s="2902" t="s">
        <v>2615</v>
      </c>
      <c r="N309" s="2902" t="s">
        <v>167</v>
      </c>
      <c r="O309" s="2901" t="s">
        <v>4508</v>
      </c>
      <c r="P309" s="586" t="s">
        <v>1956</v>
      </c>
      <c r="Q309" s="301"/>
      <c r="R309" s="177"/>
      <c r="S309" s="403"/>
      <c r="T309" s="525" t="s">
        <v>343</v>
      </c>
      <c r="U309" s="525" t="s">
        <v>2414</v>
      </c>
      <c r="W309" s="446" t="s">
        <v>2110</v>
      </c>
      <c r="X309" s="446" t="s">
        <v>3410</v>
      </c>
      <c r="AA309" s="28"/>
      <c r="AB309" s="28"/>
      <c r="AC309" s="997"/>
      <c r="AD309" s="536"/>
    </row>
    <row r="310" spans="6:30" ht="10.5" customHeight="1">
      <c r="F310" s="587"/>
      <c r="G310" s="1079" t="s">
        <v>1964</v>
      </c>
      <c r="H310" s="1079" t="s">
        <v>1322</v>
      </c>
      <c r="I310" s="1080" t="s">
        <v>337</v>
      </c>
      <c r="J310" s="1083" t="s">
        <v>2629</v>
      </c>
      <c r="K310" s="1081" t="s">
        <v>2374</v>
      </c>
      <c r="L310" s="1082" t="s">
        <v>426</v>
      </c>
      <c r="M310" s="2902" t="s">
        <v>1206</v>
      </c>
      <c r="N310" s="2902" t="s">
        <v>1532</v>
      </c>
      <c r="O310" s="2901" t="s">
        <v>4509</v>
      </c>
      <c r="P310" s="586" t="s">
        <v>2169</v>
      </c>
      <c r="Q310" s="301"/>
      <c r="R310" s="177"/>
      <c r="S310" s="403"/>
      <c r="T310" s="292" t="s">
        <v>345</v>
      </c>
      <c r="U310" s="292" t="s">
        <v>1891</v>
      </c>
      <c r="W310" s="446" t="s">
        <v>3407</v>
      </c>
      <c r="X310" s="446" t="s">
        <v>3410</v>
      </c>
      <c r="AA310" s="28"/>
      <c r="AB310" s="28"/>
      <c r="AC310" s="997"/>
      <c r="AD310" s="536"/>
    </row>
    <row r="311" spans="6:30" ht="10.5" customHeight="1">
      <c r="F311" s="587"/>
      <c r="G311" s="1079" t="s">
        <v>1965</v>
      </c>
      <c r="H311" s="1079" t="s">
        <v>1222</v>
      </c>
      <c r="I311" s="1083" t="s">
        <v>2411</v>
      </c>
      <c r="J311" s="1080" t="s">
        <v>2628</v>
      </c>
      <c r="K311" s="1081" t="s">
        <v>2375</v>
      </c>
      <c r="L311" s="1082" t="s">
        <v>425</v>
      </c>
      <c r="M311" s="2902" t="s">
        <v>2615</v>
      </c>
      <c r="N311" s="2902" t="s">
        <v>1794</v>
      </c>
      <c r="O311" s="2901" t="s">
        <v>4510</v>
      </c>
      <c r="P311" s="586" t="s">
        <v>154</v>
      </c>
      <c r="Q311" s="301"/>
      <c r="R311" s="177"/>
      <c r="S311" s="403"/>
      <c r="T311" s="525" t="s">
        <v>347</v>
      </c>
      <c r="U311" s="525" t="s">
        <v>176</v>
      </c>
      <c r="W311" s="446" t="s">
        <v>2263</v>
      </c>
      <c r="X311" s="446" t="s">
        <v>3410</v>
      </c>
      <c r="AA311" s="28"/>
      <c r="AB311" s="28"/>
      <c r="AC311" s="536"/>
      <c r="AD311" s="536"/>
    </row>
    <row r="312" spans="6:30" ht="10.5" customHeight="1">
      <c r="F312" s="587"/>
      <c r="G312" s="1079" t="s">
        <v>2412</v>
      </c>
      <c r="H312" s="1079" t="s">
        <v>1322</v>
      </c>
      <c r="I312" s="1083" t="s">
        <v>2413</v>
      </c>
      <c r="J312" s="1083" t="s">
        <v>2628</v>
      </c>
      <c r="K312" s="1081" t="s">
        <v>423</v>
      </c>
      <c r="L312" s="1082" t="s">
        <v>425</v>
      </c>
      <c r="M312" s="2902" t="s">
        <v>2615</v>
      </c>
      <c r="N312" s="2902" t="s">
        <v>1341</v>
      </c>
      <c r="O312" s="2901" t="s">
        <v>4511</v>
      </c>
      <c r="P312" s="586" t="s">
        <v>155</v>
      </c>
      <c r="Q312" s="301"/>
      <c r="R312" s="177"/>
      <c r="S312" s="403"/>
      <c r="T312" s="525" t="s">
        <v>1955</v>
      </c>
      <c r="U312" s="525" t="s">
        <v>107</v>
      </c>
      <c r="W312" s="446" t="s">
        <v>400</v>
      </c>
      <c r="X312" s="446" t="s">
        <v>3410</v>
      </c>
      <c r="AA312" s="28"/>
      <c r="AB312" s="28"/>
      <c r="AC312" s="997"/>
      <c r="AD312" s="536"/>
    </row>
    <row r="313" spans="6:30" ht="10.5" customHeight="1">
      <c r="F313" s="587"/>
      <c r="G313" s="1079" t="s">
        <v>2414</v>
      </c>
      <c r="H313" s="1079" t="s">
        <v>1322</v>
      </c>
      <c r="I313" s="1083" t="s">
        <v>2415</v>
      </c>
      <c r="J313" s="1083" t="s">
        <v>2628</v>
      </c>
      <c r="K313" s="1081" t="s">
        <v>424</v>
      </c>
      <c r="L313" s="1082" t="s">
        <v>425</v>
      </c>
      <c r="M313" s="2902" t="s">
        <v>2615</v>
      </c>
      <c r="N313" s="2902" t="s">
        <v>1331</v>
      </c>
      <c r="O313" s="2901" t="s">
        <v>4512</v>
      </c>
      <c r="P313" s="586" t="s">
        <v>1591</v>
      </c>
      <c r="Q313" s="301"/>
      <c r="R313" s="177"/>
      <c r="S313" s="403"/>
      <c r="T313" s="525" t="s">
        <v>197</v>
      </c>
      <c r="U313" s="525" t="s">
        <v>1677</v>
      </c>
      <c r="W313" s="446" t="s">
        <v>1853</v>
      </c>
      <c r="X313" s="446" t="s">
        <v>3410</v>
      </c>
      <c r="AA313" s="28"/>
      <c r="AB313" s="28"/>
      <c r="AC313" s="997"/>
      <c r="AD313" s="536"/>
    </row>
    <row r="314" spans="6:30" ht="10.5" customHeight="1">
      <c r="F314" s="347"/>
      <c r="G314" s="1079" t="s">
        <v>2416</v>
      </c>
      <c r="H314" s="1079" t="s">
        <v>1222</v>
      </c>
      <c r="I314" s="1083" t="s">
        <v>1794</v>
      </c>
      <c r="J314" s="1083" t="s">
        <v>2629</v>
      </c>
      <c r="K314" s="1081" t="s">
        <v>1170</v>
      </c>
      <c r="L314" s="1082" t="s">
        <v>426</v>
      </c>
      <c r="M314" s="2900" t="s">
        <v>2615</v>
      </c>
      <c r="N314" s="2902" t="s">
        <v>1794</v>
      </c>
      <c r="O314" s="2901" t="s">
        <v>4513</v>
      </c>
      <c r="P314" s="586" t="s">
        <v>797</v>
      </c>
      <c r="Q314" s="301"/>
      <c r="R314" s="177"/>
      <c r="S314" s="403"/>
      <c r="T314" s="525" t="s">
        <v>2170</v>
      </c>
      <c r="U314" s="525" t="s">
        <v>197</v>
      </c>
      <c r="W314" s="446" t="s">
        <v>2287</v>
      </c>
      <c r="X314" s="446" t="s">
        <v>3410</v>
      </c>
      <c r="AA314" s="28"/>
      <c r="AB314" s="28"/>
      <c r="AC314" s="997"/>
      <c r="AD314" s="536"/>
    </row>
    <row r="315" spans="6:30" ht="10.5" customHeight="1">
      <c r="F315" s="347"/>
      <c r="G315" s="324"/>
      <c r="H315" s="324"/>
      <c r="I315" s="324"/>
      <c r="J315" s="393"/>
      <c r="K315" s="324"/>
      <c r="L315" s="324"/>
      <c r="M315" s="381"/>
      <c r="N315" s="381"/>
      <c r="O315" s="381"/>
      <c r="P315" s="586" t="s">
        <v>799</v>
      </c>
      <c r="Q315" s="301"/>
      <c r="R315" s="177"/>
      <c r="S315" s="403"/>
      <c r="T315" s="525" t="s">
        <v>695</v>
      </c>
      <c r="U315" s="525" t="s">
        <v>2192</v>
      </c>
      <c r="W315" s="446" t="s">
        <v>566</v>
      </c>
      <c r="X315" s="446" t="s">
        <v>3410</v>
      </c>
      <c r="AA315" s="28"/>
      <c r="AB315" s="28"/>
      <c r="AC315" s="997"/>
      <c r="AD315" s="536"/>
    </row>
    <row r="316" spans="6:30" ht="10.5" customHeight="1">
      <c r="F316" s="347"/>
      <c r="G316" s="324"/>
      <c r="H316" s="324"/>
      <c r="I316" s="324"/>
      <c r="J316" s="324"/>
      <c r="K316" s="324"/>
      <c r="L316" s="324"/>
      <c r="M316" s="324"/>
      <c r="N316" s="381"/>
      <c r="O316" s="381"/>
      <c r="P316" s="586" t="s">
        <v>801</v>
      </c>
      <c r="Q316" s="301"/>
      <c r="R316" s="177"/>
      <c r="S316" s="403"/>
      <c r="T316" s="292" t="s">
        <v>156</v>
      </c>
      <c r="U316" s="292" t="s">
        <v>1890</v>
      </c>
      <c r="W316" s="446" t="s">
        <v>1462</v>
      </c>
      <c r="X316" s="446" t="s">
        <v>3410</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633</v>
      </c>
      <c r="W317" s="446" t="s">
        <v>1593</v>
      </c>
      <c r="X317" s="446" t="s">
        <v>3410</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2024</v>
      </c>
      <c r="W318" s="446" t="s">
        <v>2135</v>
      </c>
      <c r="X318" s="446" t="s">
        <v>3410</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798</v>
      </c>
      <c r="U319" s="525" t="s">
        <v>107</v>
      </c>
      <c r="W319" s="446" t="s">
        <v>2137</v>
      </c>
      <c r="X319" s="446" t="s">
        <v>3410</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800</v>
      </c>
      <c r="U320" s="525" t="s">
        <v>123</v>
      </c>
      <c r="W320" s="446" t="s">
        <v>1452</v>
      </c>
      <c r="X320" s="446" t="s">
        <v>3410</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802</v>
      </c>
      <c r="U321" s="525" t="s">
        <v>328</v>
      </c>
      <c r="W321" s="446" t="s">
        <v>1567</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886</v>
      </c>
      <c r="W322" s="446" t="s">
        <v>1193</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1464</v>
      </c>
      <c r="W323" s="446" t="s">
        <v>1762</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1114</v>
      </c>
      <c r="W324" s="446" t="s">
        <v>1827</v>
      </c>
      <c r="X324" s="446" t="s">
        <v>3410</v>
      </c>
      <c r="AA324" s="28"/>
      <c r="AB324" s="28"/>
      <c r="AC324" s="536"/>
      <c r="AD324" s="536"/>
    </row>
    <row r="325" spans="6:30" ht="10.5" customHeight="1">
      <c r="F325" s="347"/>
      <c r="G325" s="324"/>
      <c r="H325" s="324"/>
      <c r="I325" s="324"/>
      <c r="J325" s="324"/>
      <c r="K325" s="324"/>
      <c r="L325" s="324"/>
      <c r="M325" s="324"/>
      <c r="N325" s="324"/>
      <c r="O325" s="324"/>
      <c r="P325" s="586" t="s">
        <v>1936</v>
      </c>
      <c r="Q325" s="301"/>
      <c r="R325" s="177"/>
      <c r="S325" s="403"/>
      <c r="T325" s="525" t="s">
        <v>2585</v>
      </c>
      <c r="U325" s="525" t="s">
        <v>671</v>
      </c>
      <c r="W325" s="446" t="s">
        <v>1112</v>
      </c>
      <c r="X325" s="446" t="s">
        <v>3410</v>
      </c>
      <c r="AA325" s="28"/>
      <c r="AB325" s="28"/>
      <c r="AC325" s="997"/>
      <c r="AD325" s="536"/>
    </row>
    <row r="326" spans="6:30" ht="10.5" customHeight="1">
      <c r="F326" s="347"/>
      <c r="G326" s="324"/>
      <c r="H326" s="324"/>
      <c r="I326" s="324"/>
      <c r="J326" s="324"/>
      <c r="K326" s="324"/>
      <c r="L326" s="324"/>
      <c r="M326" s="324"/>
      <c r="N326" s="324"/>
      <c r="O326" s="324"/>
      <c r="P326" s="586" t="s">
        <v>1937</v>
      </c>
      <c r="Q326" s="301"/>
      <c r="R326" s="177"/>
      <c r="S326" s="403"/>
      <c r="T326" s="525" t="s">
        <v>382</v>
      </c>
      <c r="U326" s="525" t="s">
        <v>2504</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1939</v>
      </c>
      <c r="Q327" s="301"/>
      <c r="R327" s="177"/>
      <c r="S327" s="403"/>
      <c r="T327" s="588" t="s">
        <v>384</v>
      </c>
      <c r="U327" s="525" t="s">
        <v>2185</v>
      </c>
      <c r="W327" s="446" t="s">
        <v>2159</v>
      </c>
      <c r="X327" s="446" t="s">
        <v>3410</v>
      </c>
      <c r="AA327" s="28"/>
      <c r="AB327" s="28"/>
      <c r="AC327" s="997"/>
      <c r="AD327" s="536"/>
    </row>
    <row r="328" spans="6:30" ht="10.5" customHeight="1">
      <c r="F328" s="347"/>
      <c r="G328" s="324"/>
      <c r="H328" s="324"/>
      <c r="I328" s="324"/>
      <c r="J328" s="324"/>
      <c r="K328" s="324"/>
      <c r="L328" s="324"/>
      <c r="M328" s="324"/>
      <c r="N328" s="324"/>
      <c r="O328" s="324"/>
      <c r="P328" s="586" t="s">
        <v>1940</v>
      </c>
      <c r="Q328" s="301"/>
      <c r="R328" s="177"/>
      <c r="S328" s="403"/>
      <c r="T328" s="525" t="s">
        <v>49</v>
      </c>
      <c r="U328" s="525" t="s">
        <v>961</v>
      </c>
      <c r="W328" s="446" t="s">
        <v>1530</v>
      </c>
      <c r="X328" s="446" t="s">
        <v>3410</v>
      </c>
      <c r="AA328" s="28"/>
      <c r="AB328" s="28"/>
      <c r="AC328" s="998"/>
      <c r="AD328" s="536"/>
    </row>
    <row r="329" spans="6:30" ht="10.5" customHeight="1">
      <c r="F329" s="347"/>
      <c r="G329" s="324"/>
      <c r="H329" s="324"/>
      <c r="I329" s="324"/>
      <c r="J329" s="324"/>
      <c r="K329" s="324"/>
      <c r="L329" s="324"/>
      <c r="M329" s="324"/>
      <c r="N329" s="324"/>
      <c r="O329" s="324"/>
      <c r="P329" s="586" t="s">
        <v>1941</v>
      </c>
      <c r="Q329" s="301"/>
      <c r="R329" s="177"/>
      <c r="S329" s="403"/>
      <c r="T329" s="525" t="s">
        <v>51</v>
      </c>
      <c r="U329" s="525" t="s">
        <v>633</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1943</v>
      </c>
      <c r="Q330" s="301"/>
      <c r="R330" s="177"/>
      <c r="S330" s="403"/>
      <c r="T330" s="525" t="s">
        <v>881</v>
      </c>
      <c r="U330" s="525" t="s">
        <v>2502</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722</v>
      </c>
      <c r="Q331" s="301"/>
      <c r="R331" s="177"/>
      <c r="S331" s="403"/>
      <c r="T331" s="292" t="s">
        <v>1938</v>
      </c>
      <c r="U331" s="292" t="s">
        <v>881</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1148</v>
      </c>
      <c r="Q332" s="301"/>
      <c r="R332" s="177"/>
      <c r="S332" s="403"/>
      <c r="T332" s="292" t="s">
        <v>2586</v>
      </c>
      <c r="U332" s="292" t="s">
        <v>633</v>
      </c>
      <c r="W332" s="446" t="s">
        <v>784</v>
      </c>
      <c r="X332" s="446" t="s">
        <v>3410</v>
      </c>
      <c r="AA332" s="28"/>
      <c r="AB332" s="28"/>
      <c r="AC332" s="536"/>
      <c r="AD332" s="536"/>
    </row>
    <row r="333" spans="6:30" ht="10.5" customHeight="1">
      <c r="F333" s="347"/>
      <c r="G333" s="324"/>
      <c r="H333" s="324"/>
      <c r="I333" s="324"/>
      <c r="J333" s="324"/>
      <c r="K333" s="324"/>
      <c r="L333" s="324"/>
      <c r="M333" s="324"/>
      <c r="N333" s="324"/>
      <c r="O333" s="324"/>
      <c r="P333" s="586" t="s">
        <v>1150</v>
      </c>
      <c r="Q333" s="301"/>
      <c r="R333" s="177"/>
      <c r="S333" s="403"/>
      <c r="T333" s="525" t="s">
        <v>2873</v>
      </c>
      <c r="U333" s="525" t="s">
        <v>2499</v>
      </c>
      <c r="W333" s="446" t="s">
        <v>949</v>
      </c>
      <c r="X333" s="446" t="s">
        <v>3410</v>
      </c>
      <c r="AA333" s="28"/>
      <c r="AB333" s="28"/>
      <c r="AC333" s="536"/>
      <c r="AD333" s="536"/>
    </row>
    <row r="334" spans="6:30" ht="10.5" customHeight="1">
      <c r="F334" s="347"/>
      <c r="G334" s="324"/>
      <c r="H334" s="324"/>
      <c r="I334" s="324"/>
      <c r="J334" s="324"/>
      <c r="K334" s="324"/>
      <c r="L334" s="324"/>
      <c r="M334" s="324"/>
      <c r="N334" s="324"/>
      <c r="O334" s="324"/>
      <c r="P334" s="586" t="s">
        <v>1152</v>
      </c>
      <c r="Q334" s="301"/>
      <c r="R334" s="177"/>
      <c r="S334" s="403"/>
      <c r="T334" s="525" t="s">
        <v>1942</v>
      </c>
      <c r="U334" s="525" t="s">
        <v>1464</v>
      </c>
      <c r="W334" s="446" t="s">
        <v>1052</v>
      </c>
      <c r="X334" s="446" t="s">
        <v>3410</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1944</v>
      </c>
      <c r="U335" s="525" t="s">
        <v>1464</v>
      </c>
      <c r="W335" s="446" t="s">
        <v>2283</v>
      </c>
      <c r="X335" s="446" t="s">
        <v>3410</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723</v>
      </c>
      <c r="U336" s="525" t="s">
        <v>122</v>
      </c>
      <c r="W336" s="446" t="s">
        <v>2537</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696</v>
      </c>
      <c r="U337" s="525" t="s">
        <v>633</v>
      </c>
      <c r="W337" s="446" t="s">
        <v>2179</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1625</v>
      </c>
      <c r="X338" s="446" t="s">
        <v>3410</v>
      </c>
      <c r="AA338" s="28"/>
      <c r="AB338" s="28"/>
      <c r="AC338" s="997"/>
      <c r="AD338" s="536"/>
    </row>
    <row r="339" spans="6:30" ht="10.5" customHeight="1">
      <c r="F339" s="347"/>
      <c r="G339" s="324"/>
      <c r="H339" s="324"/>
      <c r="I339" s="324"/>
      <c r="J339" s="324"/>
      <c r="K339" s="324"/>
      <c r="L339" s="324"/>
      <c r="M339" s="324"/>
      <c r="N339" s="324"/>
      <c r="O339" s="324"/>
      <c r="P339" s="586" t="s">
        <v>1837</v>
      </c>
      <c r="Q339" s="301"/>
      <c r="R339" s="177"/>
      <c r="S339" s="403"/>
      <c r="T339" s="525" t="s">
        <v>2875</v>
      </c>
      <c r="U339" s="525" t="s">
        <v>318</v>
      </c>
      <c r="W339" s="446" t="s">
        <v>2431</v>
      </c>
      <c r="X339" s="446" t="s">
        <v>3410</v>
      </c>
      <c r="AA339" s="28"/>
      <c r="AB339" s="28"/>
      <c r="AC339" s="997"/>
      <c r="AD339" s="536"/>
    </row>
    <row r="340" spans="6:30" ht="10.5" customHeight="1">
      <c r="F340" s="347"/>
      <c r="G340" s="324"/>
      <c r="H340" s="324"/>
      <c r="I340" s="324"/>
      <c r="J340" s="324"/>
      <c r="K340" s="324"/>
      <c r="L340" s="324"/>
      <c r="M340" s="324"/>
      <c r="N340" s="324"/>
      <c r="O340" s="324"/>
      <c r="P340" s="586" t="s">
        <v>1839</v>
      </c>
      <c r="Q340" s="301"/>
      <c r="R340" s="177"/>
      <c r="S340" s="403"/>
      <c r="T340" s="525" t="s">
        <v>1149</v>
      </c>
      <c r="U340" s="525" t="s">
        <v>1464</v>
      </c>
      <c r="W340" s="446" t="s">
        <v>822</v>
      </c>
      <c r="X340" s="446" t="s">
        <v>3410</v>
      </c>
      <c r="AA340" s="28"/>
      <c r="AB340" s="28"/>
      <c r="AC340" s="997"/>
      <c r="AD340" s="536"/>
    </row>
    <row r="341" spans="6:30" ht="10.5" customHeight="1">
      <c r="F341" s="347"/>
      <c r="G341" s="324"/>
      <c r="H341" s="324"/>
      <c r="I341" s="324"/>
      <c r="J341" s="324"/>
      <c r="K341" s="324"/>
      <c r="L341" s="324"/>
      <c r="M341" s="324"/>
      <c r="N341" s="324"/>
      <c r="O341" s="324"/>
      <c r="P341" s="586" t="s">
        <v>1905</v>
      </c>
      <c r="Q341" s="301"/>
      <c r="R341" s="177"/>
      <c r="S341" s="403"/>
      <c r="T341" s="525" t="s">
        <v>1151</v>
      </c>
      <c r="U341" s="525" t="s">
        <v>667</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1907</v>
      </c>
      <c r="Q342" s="301"/>
      <c r="R342" s="177"/>
      <c r="S342" s="403"/>
      <c r="T342" s="525" t="s">
        <v>2587</v>
      </c>
      <c r="U342" s="525" t="s">
        <v>2187</v>
      </c>
      <c r="W342" s="446" t="s">
        <v>1337</v>
      </c>
      <c r="X342" s="446" t="s">
        <v>3410</v>
      </c>
      <c r="AA342" s="28"/>
      <c r="AB342" s="28"/>
      <c r="AC342" s="997"/>
      <c r="AD342" s="536"/>
    </row>
    <row r="343" spans="6:30" ht="10.5" customHeight="1">
      <c r="F343" s="347"/>
      <c r="G343" s="324"/>
      <c r="H343" s="324"/>
      <c r="I343" s="324"/>
      <c r="J343" s="324"/>
      <c r="K343" s="324"/>
      <c r="L343" s="324"/>
      <c r="M343" s="324"/>
      <c r="N343" s="324"/>
      <c r="O343" s="324"/>
      <c r="P343" s="586" t="s">
        <v>1908</v>
      </c>
      <c r="Q343" s="301"/>
      <c r="R343" s="177"/>
      <c r="S343" s="403"/>
      <c r="T343" s="525" t="s">
        <v>2588</v>
      </c>
      <c r="U343" s="525" t="s">
        <v>2547</v>
      </c>
      <c r="W343" s="446" t="s">
        <v>1081</v>
      </c>
      <c r="X343" s="446" t="s">
        <v>3410</v>
      </c>
      <c r="AA343" s="28"/>
      <c r="AB343" s="28"/>
      <c r="AC343" s="997"/>
      <c r="AD343" s="536"/>
    </row>
    <row r="344" spans="6:30" ht="10.5" customHeight="1">
      <c r="F344" s="347"/>
      <c r="G344" s="324"/>
      <c r="H344" s="324"/>
      <c r="I344" s="324"/>
      <c r="J344" s="324"/>
      <c r="K344" s="324"/>
      <c r="L344" s="324"/>
      <c r="M344" s="324"/>
      <c r="N344" s="324"/>
      <c r="O344" s="324"/>
      <c r="P344" s="586" t="s">
        <v>1910</v>
      </c>
      <c r="Q344" s="301"/>
      <c r="R344" s="177"/>
      <c r="S344" s="403"/>
      <c r="T344" s="525" t="s">
        <v>1153</v>
      </c>
      <c r="U344" s="525" t="s">
        <v>1217</v>
      </c>
      <c r="W344" s="446" t="s">
        <v>2007</v>
      </c>
      <c r="X344" s="446" t="s">
        <v>3410</v>
      </c>
      <c r="AA344" s="28"/>
      <c r="AB344" s="28"/>
      <c r="AC344" s="997"/>
      <c r="AD344" s="536"/>
    </row>
    <row r="345" spans="6:30" ht="10.5" customHeight="1">
      <c r="F345" s="347"/>
      <c r="G345" s="324"/>
      <c r="H345" s="324"/>
      <c r="I345" s="324"/>
      <c r="J345" s="324"/>
      <c r="K345" s="324"/>
      <c r="L345" s="324"/>
      <c r="M345" s="324"/>
      <c r="N345" s="324"/>
      <c r="O345" s="324"/>
      <c r="P345" s="586" t="s">
        <v>1912</v>
      </c>
      <c r="Q345" s="301"/>
      <c r="R345" s="177"/>
      <c r="S345" s="403"/>
      <c r="T345" s="525" t="s">
        <v>2530</v>
      </c>
      <c r="U345" s="525" t="s">
        <v>201</v>
      </c>
      <c r="W345" s="446" t="s">
        <v>1902</v>
      </c>
      <c r="X345" s="446" t="s">
        <v>3410</v>
      </c>
      <c r="AA345" s="28"/>
      <c r="AB345" s="28"/>
      <c r="AC345" s="997"/>
      <c r="AD345" s="536"/>
    </row>
    <row r="346" spans="6:30" ht="10.5" customHeight="1">
      <c r="F346" s="347"/>
      <c r="G346" s="324"/>
      <c r="H346" s="324"/>
      <c r="I346" s="324"/>
      <c r="J346" s="324"/>
      <c r="K346" s="324"/>
      <c r="L346" s="324"/>
      <c r="M346" s="324"/>
      <c r="N346" s="324"/>
      <c r="O346" s="324"/>
      <c r="P346" s="586" t="s">
        <v>1946</v>
      </c>
      <c r="Q346" s="301"/>
      <c r="R346" s="177"/>
      <c r="S346" s="403"/>
      <c r="T346" s="525" t="s">
        <v>459</v>
      </c>
      <c r="U346" s="525" t="s">
        <v>1110</v>
      </c>
      <c r="W346" s="446" t="s">
        <v>2552</v>
      </c>
      <c r="X346" s="446" t="s">
        <v>3410</v>
      </c>
      <c r="AA346" s="28"/>
      <c r="AB346" s="28"/>
      <c r="AC346" s="997"/>
      <c r="AD346" s="536"/>
    </row>
    <row r="347" spans="6:30" ht="10.5" customHeight="1">
      <c r="F347" s="347"/>
      <c r="G347" s="324"/>
      <c r="H347" s="324"/>
      <c r="I347" s="324"/>
      <c r="J347" s="324"/>
      <c r="K347" s="324"/>
      <c r="L347" s="324"/>
      <c r="M347" s="324"/>
      <c r="N347" s="324"/>
      <c r="O347" s="324"/>
      <c r="P347" s="586" t="s">
        <v>1948</v>
      </c>
      <c r="Q347" s="301"/>
      <c r="R347" s="177"/>
      <c r="S347" s="403"/>
      <c r="T347" s="292" t="s">
        <v>190</v>
      </c>
      <c r="U347" s="292" t="s">
        <v>669</v>
      </c>
      <c r="W347" s="446" t="s">
        <v>1164</v>
      </c>
      <c r="X347" s="446" t="s">
        <v>3410</v>
      </c>
      <c r="AA347" s="28"/>
      <c r="AB347" s="28"/>
      <c r="AC347" s="997"/>
      <c r="AD347" s="536"/>
    </row>
    <row r="348" spans="6:30" ht="10.5" customHeight="1">
      <c r="F348" s="347"/>
      <c r="G348" s="324"/>
      <c r="H348" s="324"/>
      <c r="I348" s="324"/>
      <c r="J348" s="324"/>
      <c r="K348" s="324"/>
      <c r="L348" s="324"/>
      <c r="M348" s="324"/>
      <c r="N348" s="324"/>
      <c r="O348" s="324"/>
      <c r="P348" s="586" t="s">
        <v>1949</v>
      </c>
      <c r="Q348" s="301"/>
      <c r="R348" s="177"/>
      <c r="S348" s="403"/>
      <c r="T348" s="292" t="s">
        <v>303</v>
      </c>
      <c r="U348" s="292" t="s">
        <v>1343</v>
      </c>
      <c r="W348" s="446" t="s">
        <v>2533</v>
      </c>
      <c r="X348" s="446" t="s">
        <v>3410</v>
      </c>
      <c r="AA348" s="28"/>
      <c r="AB348" s="28"/>
      <c r="AC348" s="536"/>
      <c r="AD348" s="536"/>
    </row>
    <row r="349" spans="6:30" ht="10.5" customHeight="1">
      <c r="F349" s="347"/>
      <c r="G349" s="324"/>
      <c r="H349" s="324"/>
      <c r="I349" s="324"/>
      <c r="J349" s="324"/>
      <c r="K349" s="324"/>
      <c r="L349" s="324"/>
      <c r="M349" s="324"/>
      <c r="N349" s="324"/>
      <c r="O349" s="324"/>
      <c r="P349" s="586" t="s">
        <v>1951</v>
      </c>
      <c r="Q349" s="301"/>
      <c r="R349" s="177"/>
      <c r="S349" s="403"/>
      <c r="T349" s="292" t="s">
        <v>1838</v>
      </c>
      <c r="U349" s="292" t="s">
        <v>886</v>
      </c>
      <c r="W349" s="446" t="s">
        <v>823</v>
      </c>
      <c r="X349" s="446" t="s">
        <v>3410</v>
      </c>
      <c r="AA349" s="28"/>
      <c r="AB349" s="28"/>
      <c r="AC349" s="536"/>
      <c r="AD349" s="536"/>
    </row>
    <row r="350" spans="6:30" ht="10.5" customHeight="1">
      <c r="F350" s="347"/>
      <c r="G350" s="324"/>
      <c r="H350" s="324"/>
      <c r="I350" s="324"/>
      <c r="J350" s="324"/>
      <c r="K350" s="324"/>
      <c r="L350" s="324"/>
      <c r="M350" s="324"/>
      <c r="N350" s="324"/>
      <c r="O350" s="324"/>
      <c r="P350" s="586" t="s">
        <v>1953</v>
      </c>
      <c r="Q350" s="301"/>
      <c r="R350" s="177"/>
      <c r="S350" s="403"/>
      <c r="T350" s="525" t="s">
        <v>1840</v>
      </c>
      <c r="U350" s="525" t="s">
        <v>1120</v>
      </c>
      <c r="W350" s="446" t="s">
        <v>2117</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1906</v>
      </c>
      <c r="U351" s="525" t="s">
        <v>2504</v>
      </c>
      <c r="W351" s="446" t="s">
        <v>947</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1909</v>
      </c>
      <c r="U352" s="292" t="s">
        <v>667</v>
      </c>
      <c r="W352" s="446" t="s">
        <v>2517</v>
      </c>
      <c r="X352" s="446" t="s">
        <v>3410</v>
      </c>
      <c r="AA352" s="28"/>
      <c r="AB352" s="28"/>
      <c r="AC352" s="997"/>
      <c r="AD352" s="536"/>
    </row>
    <row r="353" spans="6:30" ht="10.5" customHeight="1">
      <c r="F353" s="347"/>
      <c r="G353" s="324"/>
      <c r="H353" s="324"/>
      <c r="I353" s="324"/>
      <c r="J353" s="324"/>
      <c r="K353" s="324"/>
      <c r="L353" s="324"/>
      <c r="M353" s="324"/>
      <c r="N353" s="324"/>
      <c r="O353" s="324"/>
      <c r="P353" s="586" t="s">
        <v>1686</v>
      </c>
      <c r="Q353" s="301"/>
      <c r="R353" s="177"/>
      <c r="S353" s="403"/>
      <c r="T353" s="525" t="s">
        <v>1911</v>
      </c>
      <c r="U353" s="525" t="s">
        <v>1325</v>
      </c>
      <c r="W353" s="446" t="s">
        <v>1919</v>
      </c>
      <c r="X353" s="446" t="s">
        <v>3410</v>
      </c>
      <c r="AA353" s="28"/>
      <c r="AB353" s="28"/>
      <c r="AC353" s="536"/>
      <c r="AD353" s="536"/>
    </row>
    <row r="354" spans="6:30" ht="10.5" customHeight="1">
      <c r="F354" s="347"/>
      <c r="G354" s="324"/>
      <c r="H354" s="324"/>
      <c r="I354" s="324"/>
      <c r="J354" s="324"/>
      <c r="K354" s="324"/>
      <c r="L354" s="324"/>
      <c r="M354" s="324"/>
      <c r="N354" s="324"/>
      <c r="O354" s="324"/>
      <c r="P354" s="586" t="s">
        <v>1760</v>
      </c>
      <c r="Q354" s="301"/>
      <c r="R354" s="177"/>
      <c r="S354" s="403"/>
      <c r="T354" s="525" t="s">
        <v>2876</v>
      </c>
      <c r="U354" s="525" t="s">
        <v>201</v>
      </c>
      <c r="W354" s="446" t="s">
        <v>1424</v>
      </c>
      <c r="X354" s="446" t="s">
        <v>3410</v>
      </c>
      <c r="AA354" s="28"/>
      <c r="AB354" s="28"/>
      <c r="AC354" s="997"/>
      <c r="AD354" s="536"/>
    </row>
    <row r="355" spans="6:30" ht="10.5" customHeight="1">
      <c r="F355" s="347"/>
      <c r="G355" s="324"/>
      <c r="H355" s="324"/>
      <c r="I355" s="324"/>
      <c r="J355" s="324"/>
      <c r="K355" s="324"/>
      <c r="L355" s="324"/>
      <c r="M355" s="324"/>
      <c r="N355" s="324"/>
      <c r="O355" s="324"/>
      <c r="P355" s="586" t="s">
        <v>2293</v>
      </c>
      <c r="Q355" s="301"/>
      <c r="R355" s="177"/>
      <c r="S355" s="403"/>
      <c r="T355" s="525" t="s">
        <v>1913</v>
      </c>
      <c r="U355" s="525" t="s">
        <v>1328</v>
      </c>
      <c r="W355" s="446" t="s">
        <v>2273</v>
      </c>
      <c r="X355" s="446" t="s">
        <v>3410</v>
      </c>
      <c r="AA355" s="28"/>
      <c r="AB355" s="28"/>
      <c r="AC355" s="997"/>
      <c r="AD355" s="536"/>
    </row>
    <row r="356" spans="6:30" ht="10.5" customHeight="1">
      <c r="F356" s="347"/>
      <c r="G356" s="324"/>
      <c r="H356" s="324"/>
      <c r="I356" s="324"/>
      <c r="J356" s="324"/>
      <c r="K356" s="324"/>
      <c r="L356" s="324"/>
      <c r="M356" s="324"/>
      <c r="N356" s="324"/>
      <c r="O356" s="324"/>
      <c r="P356" s="586" t="s">
        <v>2295</v>
      </c>
      <c r="Q356" s="301"/>
      <c r="R356" s="177"/>
      <c r="S356" s="403"/>
      <c r="T356" s="525" t="s">
        <v>1947</v>
      </c>
      <c r="U356" s="525" t="s">
        <v>320</v>
      </c>
      <c r="W356" s="446" t="s">
        <v>2275</v>
      </c>
      <c r="X356" s="446" t="s">
        <v>3410</v>
      </c>
      <c r="AA356" s="28"/>
      <c r="AB356" s="28"/>
      <c r="AC356" s="997"/>
      <c r="AD356" s="536"/>
    </row>
    <row r="357" spans="6:30" ht="10.5" customHeight="1">
      <c r="F357" s="347"/>
      <c r="G357" s="324"/>
      <c r="H357" s="324"/>
      <c r="I357" s="324"/>
      <c r="J357" s="324"/>
      <c r="K357" s="324"/>
      <c r="L357" s="324"/>
      <c r="M357" s="324"/>
      <c r="N357" s="324"/>
      <c r="O357" s="324"/>
      <c r="P357" s="586" t="s">
        <v>1000</v>
      </c>
      <c r="Q357" s="301"/>
      <c r="R357" s="177"/>
      <c r="S357" s="403"/>
      <c r="T357" s="525" t="s">
        <v>2877</v>
      </c>
      <c r="U357" s="525" t="s">
        <v>660</v>
      </c>
      <c r="W357" s="446" t="s">
        <v>1125</v>
      </c>
      <c r="X357" s="446" t="s">
        <v>3410</v>
      </c>
      <c r="AA357" s="28"/>
      <c r="AB357" s="28"/>
      <c r="AC357" s="997"/>
      <c r="AD357" s="536"/>
    </row>
    <row r="358" spans="6:30" ht="10.5" customHeight="1">
      <c r="F358" s="347"/>
      <c r="G358" s="324"/>
      <c r="H358" s="324"/>
      <c r="I358" s="324"/>
      <c r="J358" s="324"/>
      <c r="K358" s="324"/>
      <c r="L358" s="324"/>
      <c r="M358" s="324"/>
      <c r="N358" s="324"/>
      <c r="O358" s="324"/>
      <c r="P358" s="586" t="s">
        <v>682</v>
      </c>
      <c r="Q358" s="301"/>
      <c r="R358" s="177"/>
      <c r="S358" s="403"/>
      <c r="T358" s="525" t="s">
        <v>1950</v>
      </c>
      <c r="U358" s="525" t="s">
        <v>2602</v>
      </c>
      <c r="W358" s="446" t="s">
        <v>2140</v>
      </c>
      <c r="X358" s="446" t="s">
        <v>3410</v>
      </c>
      <c r="AA358" s="28"/>
      <c r="AB358" s="28"/>
      <c r="AC358" s="997"/>
      <c r="AD358" s="536"/>
    </row>
    <row r="359" spans="6:30" ht="10.5" customHeight="1">
      <c r="F359" s="347"/>
      <c r="G359" s="324"/>
      <c r="H359" s="324"/>
      <c r="I359" s="324"/>
      <c r="J359" s="324"/>
      <c r="K359" s="324"/>
      <c r="L359" s="324"/>
      <c r="M359" s="324"/>
      <c r="N359" s="324"/>
      <c r="O359" s="324"/>
      <c r="P359" s="586" t="s">
        <v>573</v>
      </c>
      <c r="Q359" s="301"/>
      <c r="R359" s="177"/>
      <c r="S359" s="403"/>
      <c r="T359" s="525" t="s">
        <v>1952</v>
      </c>
      <c r="U359" s="525" t="s">
        <v>1325</v>
      </c>
      <c r="W359" s="446" t="s">
        <v>2141</v>
      </c>
      <c r="X359" s="446" t="s">
        <v>3410</v>
      </c>
      <c r="AA359" s="28"/>
      <c r="AB359" s="28"/>
      <c r="AC359" s="997"/>
      <c r="AD359" s="536"/>
    </row>
    <row r="360" spans="6:30" ht="10.5" customHeight="1">
      <c r="F360" s="347"/>
      <c r="G360" s="324"/>
      <c r="H360" s="324"/>
      <c r="I360" s="324"/>
      <c r="J360" s="324"/>
      <c r="K360" s="324"/>
      <c r="L360" s="324"/>
      <c r="M360" s="324"/>
      <c r="N360" s="324"/>
      <c r="O360" s="324"/>
      <c r="P360" s="586" t="s">
        <v>678</v>
      </c>
      <c r="Q360" s="301"/>
      <c r="R360" s="177"/>
      <c r="S360" s="403"/>
      <c r="T360" s="525" t="s">
        <v>2259</v>
      </c>
      <c r="U360" s="525" t="s">
        <v>2544</v>
      </c>
      <c r="W360" s="446" t="s">
        <v>2142</v>
      </c>
      <c r="X360" s="446" t="s">
        <v>3410</v>
      </c>
      <c r="AA360" s="28"/>
      <c r="AB360" s="28"/>
      <c r="AC360" s="997"/>
      <c r="AD360" s="536"/>
    </row>
    <row r="361" spans="6:30" ht="10.5" customHeight="1">
      <c r="F361" s="347"/>
      <c r="G361" s="324"/>
      <c r="H361" s="324"/>
      <c r="I361" s="324"/>
      <c r="J361" s="324"/>
      <c r="K361" s="324"/>
      <c r="L361" s="324"/>
      <c r="M361" s="324"/>
      <c r="N361" s="324"/>
      <c r="O361" s="324"/>
      <c r="P361" s="586" t="s">
        <v>2402</v>
      </c>
      <c r="Q361" s="301"/>
      <c r="R361" s="177"/>
      <c r="S361" s="403"/>
      <c r="T361" s="525" t="s">
        <v>2589</v>
      </c>
      <c r="U361" s="525" t="s">
        <v>2187</v>
      </c>
      <c r="W361" s="446" t="s">
        <v>2347</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2349</v>
      </c>
      <c r="X362" s="446" t="s">
        <v>3410</v>
      </c>
      <c r="AA362" s="28"/>
      <c r="AB362" s="28"/>
      <c r="AC362" s="997"/>
      <c r="AD362" s="536"/>
    </row>
    <row r="363" spans="6:30" ht="10.5" customHeight="1">
      <c r="F363" s="347"/>
      <c r="G363" s="324"/>
      <c r="H363" s="324"/>
      <c r="I363" s="324"/>
      <c r="J363" s="324"/>
      <c r="K363" s="324"/>
      <c r="L363" s="324"/>
      <c r="M363" s="324"/>
      <c r="N363" s="324"/>
      <c r="O363" s="324"/>
      <c r="P363" s="586" t="s">
        <v>788</v>
      </c>
      <c r="Q363" s="301"/>
      <c r="R363" s="177"/>
      <c r="S363" s="403"/>
      <c r="T363" s="525" t="s">
        <v>422</v>
      </c>
      <c r="U363" s="525" t="s">
        <v>1217</v>
      </c>
      <c r="W363" s="446" t="s">
        <v>2276</v>
      </c>
      <c r="X363" s="446" t="s">
        <v>3410</v>
      </c>
      <c r="AA363" s="28"/>
      <c r="AB363" s="28"/>
      <c r="AC363" s="997"/>
      <c r="AD363" s="536"/>
    </row>
    <row r="364" spans="6:30" ht="10.5" customHeight="1">
      <c r="F364" s="347"/>
      <c r="G364" s="324"/>
      <c r="H364" s="324"/>
      <c r="I364" s="324"/>
      <c r="J364" s="324"/>
      <c r="K364" s="324"/>
      <c r="L364" s="324"/>
      <c r="M364" s="324"/>
      <c r="N364" s="324"/>
      <c r="O364" s="324"/>
      <c r="P364" s="586" t="s">
        <v>789</v>
      </c>
      <c r="Q364" s="301"/>
      <c r="R364" s="177"/>
      <c r="S364" s="403"/>
      <c r="T364" s="292" t="s">
        <v>229</v>
      </c>
      <c r="U364" s="292" t="s">
        <v>672</v>
      </c>
      <c r="W364" s="446" t="s">
        <v>1638</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2022</v>
      </c>
      <c r="W365" s="446" t="s">
        <v>1698</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1687</v>
      </c>
      <c r="U366" s="525" t="s">
        <v>2499</v>
      </c>
      <c r="W366" s="446" t="s">
        <v>1086</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2294</v>
      </c>
      <c r="U367" s="525" t="s">
        <v>662</v>
      </c>
      <c r="W367" s="446" t="s">
        <v>1705</v>
      </c>
      <c r="X367" s="446" t="s">
        <v>3410</v>
      </c>
      <c r="AA367" s="28"/>
      <c r="AB367" s="28"/>
      <c r="AC367" s="997"/>
      <c r="AD367" s="536"/>
    </row>
    <row r="368" spans="6:30" ht="10.5" customHeight="1">
      <c r="F368" s="347"/>
      <c r="G368" s="324"/>
      <c r="H368" s="324"/>
      <c r="I368" s="324"/>
      <c r="J368" s="324"/>
      <c r="K368" s="324"/>
      <c r="L368" s="324"/>
      <c r="M368" s="324"/>
      <c r="N368" s="324"/>
      <c r="O368" s="324"/>
      <c r="P368" s="586" t="s">
        <v>792</v>
      </c>
      <c r="Q368" s="301"/>
      <c r="R368" s="177"/>
      <c r="S368" s="403"/>
      <c r="T368" s="525" t="s">
        <v>2296</v>
      </c>
      <c r="U368" s="525" t="s">
        <v>1326</v>
      </c>
      <c r="W368" s="446" t="s">
        <v>1706</v>
      </c>
      <c r="X368" s="446" t="s">
        <v>3410</v>
      </c>
      <c r="AA368" s="28"/>
      <c r="AB368" s="28"/>
      <c r="AC368" s="997"/>
      <c r="AD368" s="536"/>
    </row>
    <row r="369" spans="6:30" ht="10.5" customHeight="1">
      <c r="F369" s="347"/>
      <c r="G369" s="324"/>
      <c r="H369" s="324"/>
      <c r="I369" s="324"/>
      <c r="J369" s="324"/>
      <c r="K369" s="324"/>
      <c r="L369" s="324"/>
      <c r="M369" s="324"/>
      <c r="N369" s="324"/>
      <c r="O369" s="324"/>
      <c r="P369" s="586" t="s">
        <v>793</v>
      </c>
      <c r="Q369" s="301"/>
      <c r="R369" s="177"/>
      <c r="S369" s="403"/>
      <c r="T369" s="525" t="s">
        <v>1001</v>
      </c>
      <c r="U369" s="525" t="s">
        <v>1467</v>
      </c>
      <c r="W369" s="446" t="s">
        <v>1708</v>
      </c>
      <c r="X369" s="446" t="s">
        <v>3410</v>
      </c>
      <c r="AA369" s="28"/>
      <c r="AB369" s="28"/>
      <c r="AC369" s="997"/>
      <c r="AD369" s="536"/>
    </row>
    <row r="370" spans="6:30" ht="10.5" customHeight="1">
      <c r="F370" s="347"/>
      <c r="G370" s="324"/>
      <c r="H370" s="324"/>
      <c r="I370" s="324"/>
      <c r="J370" s="324"/>
      <c r="K370" s="324"/>
      <c r="L370" s="324"/>
      <c r="M370" s="324"/>
      <c r="N370" s="324"/>
      <c r="O370" s="324"/>
      <c r="P370" s="586" t="s">
        <v>795</v>
      </c>
      <c r="Q370" s="301"/>
      <c r="R370" s="177"/>
      <c r="S370" s="403"/>
      <c r="T370" s="525" t="s">
        <v>574</v>
      </c>
      <c r="U370" s="525" t="s">
        <v>1342</v>
      </c>
      <c r="W370" s="446" t="s">
        <v>1711</v>
      </c>
      <c r="X370" s="446" t="s">
        <v>3410</v>
      </c>
      <c r="AA370" s="28"/>
      <c r="AB370" s="28"/>
      <c r="AC370" s="997"/>
      <c r="AD370" s="536"/>
    </row>
    <row r="371" spans="6:30" ht="10.5" customHeight="1">
      <c r="F371" s="347"/>
      <c r="G371" s="324"/>
      <c r="H371" s="324"/>
      <c r="I371" s="324"/>
      <c r="J371" s="324"/>
      <c r="K371" s="324"/>
      <c r="L371" s="324"/>
      <c r="M371" s="324"/>
      <c r="N371" s="324"/>
      <c r="O371" s="324"/>
      <c r="P371" s="586" t="s">
        <v>1565</v>
      </c>
      <c r="Q371" s="301"/>
      <c r="R371" s="177"/>
      <c r="S371" s="403"/>
      <c r="T371" s="525" t="s">
        <v>679</v>
      </c>
      <c r="U371" s="525" t="s">
        <v>313</v>
      </c>
      <c r="W371" s="446" t="s">
        <v>1713</v>
      </c>
      <c r="X371" s="446" t="s">
        <v>3410</v>
      </c>
      <c r="AA371" s="28"/>
      <c r="AB371" s="28"/>
      <c r="AC371" s="997"/>
      <c r="AD371" s="536"/>
    </row>
    <row r="372" spans="6:30" ht="10.5" customHeight="1">
      <c r="F372" s="347"/>
      <c r="G372" s="324"/>
      <c r="H372" s="324"/>
      <c r="I372" s="324"/>
      <c r="J372" s="324"/>
      <c r="K372" s="324"/>
      <c r="L372" s="324"/>
      <c r="M372" s="324"/>
      <c r="N372" s="324"/>
      <c r="O372" s="324"/>
      <c r="P372" s="586" t="s">
        <v>1231</v>
      </c>
      <c r="Q372" s="301"/>
      <c r="R372" s="177"/>
      <c r="S372" s="403"/>
      <c r="T372" s="525" t="s">
        <v>2403</v>
      </c>
      <c r="U372" s="525" t="s">
        <v>158</v>
      </c>
      <c r="W372" s="446" t="s">
        <v>1714</v>
      </c>
      <c r="X372" s="446" t="s">
        <v>3410</v>
      </c>
      <c r="AA372" s="28"/>
      <c r="AB372" s="28"/>
      <c r="AC372" s="997"/>
      <c r="AD372" s="536"/>
    </row>
    <row r="373" spans="6:30" ht="10.5" customHeight="1">
      <c r="F373" s="347"/>
      <c r="G373" s="324"/>
      <c r="H373" s="324"/>
      <c r="I373" s="324"/>
      <c r="J373" s="324"/>
      <c r="K373" s="324"/>
      <c r="L373" s="324"/>
      <c r="M373" s="324"/>
      <c r="N373" s="324"/>
      <c r="O373" s="324"/>
      <c r="P373" s="586" t="s">
        <v>1233</v>
      </c>
      <c r="Q373" s="301"/>
      <c r="R373" s="177"/>
      <c r="S373" s="403"/>
      <c r="T373" s="525" t="s">
        <v>222</v>
      </c>
      <c r="U373" s="525" t="s">
        <v>2498</v>
      </c>
      <c r="W373" s="446" t="s">
        <v>1716</v>
      </c>
      <c r="X373" s="446" t="s">
        <v>3410</v>
      </c>
      <c r="AA373" s="28"/>
      <c r="AB373" s="28"/>
      <c r="AC373" s="997"/>
      <c r="AD373" s="536"/>
    </row>
    <row r="374" spans="6:30" ht="10.5" customHeight="1">
      <c r="F374" s="347"/>
      <c r="G374" s="324"/>
      <c r="H374" s="324"/>
      <c r="I374" s="324"/>
      <c r="J374" s="324"/>
      <c r="K374" s="324"/>
      <c r="L374" s="324"/>
      <c r="M374" s="324"/>
      <c r="N374" s="324"/>
      <c r="O374" s="324"/>
      <c r="P374" s="586" t="s">
        <v>906</v>
      </c>
      <c r="Q374" s="301"/>
      <c r="R374" s="177"/>
      <c r="S374" s="403"/>
      <c r="T374" s="525" t="s">
        <v>664</v>
      </c>
      <c r="U374" s="525" t="s">
        <v>1647</v>
      </c>
      <c r="W374" s="446" t="s">
        <v>1720</v>
      </c>
      <c r="X374" s="446" t="s">
        <v>3410</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2378</v>
      </c>
      <c r="U375" s="525" t="s">
        <v>2496</v>
      </c>
      <c r="W375" s="446" t="s">
        <v>1721</v>
      </c>
      <c r="X375" s="446" t="s">
        <v>3410</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1531</v>
      </c>
      <c r="W376" s="446" t="s">
        <v>1722</v>
      </c>
      <c r="X376" s="446" t="s">
        <v>3410</v>
      </c>
      <c r="AA376" s="28"/>
      <c r="AB376" s="28"/>
      <c r="AC376" s="997"/>
      <c r="AD376" s="536"/>
    </row>
    <row r="377" spans="6:30" ht="10.5" customHeight="1">
      <c r="F377" s="347"/>
      <c r="G377" s="324"/>
      <c r="H377" s="324"/>
      <c r="I377" s="324"/>
      <c r="J377" s="324"/>
      <c r="K377" s="324"/>
      <c r="L377" s="324"/>
      <c r="M377" s="324"/>
      <c r="N377" s="324"/>
      <c r="O377" s="324"/>
      <c r="P377" s="586" t="s">
        <v>909</v>
      </c>
      <c r="Q377" s="301"/>
      <c r="R377" s="177"/>
      <c r="S377" s="403"/>
      <c r="T377" s="525" t="s">
        <v>1054</v>
      </c>
      <c r="U377" s="525" t="s">
        <v>1467</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911</v>
      </c>
      <c r="Q378" s="301"/>
      <c r="R378" s="177"/>
      <c r="S378" s="403"/>
      <c r="T378" s="525" t="s">
        <v>236</v>
      </c>
      <c r="U378" s="525" t="s">
        <v>1100</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913</v>
      </c>
      <c r="Q379" s="301"/>
      <c r="R379" s="177"/>
      <c r="S379" s="403"/>
      <c r="T379" s="525" t="s">
        <v>665</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915</v>
      </c>
      <c r="Q380" s="301"/>
      <c r="R380" s="177"/>
      <c r="S380" s="403"/>
      <c r="T380" s="525" t="s">
        <v>794</v>
      </c>
      <c r="U380" s="525" t="s">
        <v>665</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917</v>
      </c>
      <c r="Q381" s="301"/>
      <c r="R381" s="177"/>
      <c r="S381" s="403"/>
      <c r="T381" s="525" t="s">
        <v>1230</v>
      </c>
      <c r="U381" s="525" t="s">
        <v>2504</v>
      </c>
      <c r="W381" s="446" t="s">
        <v>1552</v>
      </c>
      <c r="X381" s="446" t="s">
        <v>3410</v>
      </c>
      <c r="AA381" s="28"/>
      <c r="AB381" s="28"/>
      <c r="AC381" s="997"/>
      <c r="AD381" s="536"/>
    </row>
    <row r="382" spans="6:30" ht="10.5" customHeight="1">
      <c r="F382" s="347"/>
      <c r="G382" s="324"/>
      <c r="H382" s="324"/>
      <c r="I382" s="324"/>
      <c r="J382" s="324"/>
      <c r="K382" s="324"/>
      <c r="L382" s="324"/>
      <c r="M382" s="324"/>
      <c r="N382" s="324"/>
      <c r="O382" s="324"/>
      <c r="P382" s="586" t="s">
        <v>684</v>
      </c>
      <c r="Q382" s="301"/>
      <c r="R382" s="177"/>
      <c r="S382" s="403"/>
      <c r="T382" s="525" t="s">
        <v>1232</v>
      </c>
      <c r="U382" s="525" t="s">
        <v>313</v>
      </c>
      <c r="W382" s="446" t="s">
        <v>1553</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1234</v>
      </c>
      <c r="U383" s="525" t="s">
        <v>160</v>
      </c>
      <c r="W383" s="446" t="s">
        <v>1554</v>
      </c>
      <c r="X383" s="446" t="s">
        <v>3410</v>
      </c>
      <c r="AA383" s="28"/>
      <c r="AB383" s="28"/>
      <c r="AC383" s="997"/>
      <c r="AD383" s="536"/>
    </row>
    <row r="384" spans="6:30" ht="10.5" customHeight="1">
      <c r="F384" s="347"/>
      <c r="G384" s="324"/>
      <c r="H384" s="324"/>
      <c r="I384" s="324"/>
      <c r="J384" s="324"/>
      <c r="K384" s="324"/>
      <c r="L384" s="324"/>
      <c r="M384" s="324"/>
      <c r="N384" s="324"/>
      <c r="O384" s="324"/>
      <c r="P384" s="586" t="s">
        <v>969</v>
      </c>
      <c r="Q384" s="301"/>
      <c r="R384" s="177"/>
      <c r="S384" s="403"/>
      <c r="T384" s="525" t="s">
        <v>907</v>
      </c>
      <c r="U384" s="525" t="s">
        <v>2257</v>
      </c>
      <c r="W384" s="446" t="s">
        <v>1559</v>
      </c>
      <c r="X384" s="446" t="s">
        <v>3410</v>
      </c>
      <c r="AA384" s="28"/>
      <c r="AB384" s="28"/>
      <c r="AC384" s="997"/>
      <c r="AD384" s="536"/>
    </row>
    <row r="385" spans="6:30" ht="10.5" customHeight="1">
      <c r="F385" s="347"/>
      <c r="G385" s="324"/>
      <c r="H385" s="324"/>
      <c r="I385" s="324"/>
      <c r="J385" s="324"/>
      <c r="K385" s="324"/>
      <c r="L385" s="324"/>
      <c r="M385" s="324"/>
      <c r="N385" s="324"/>
      <c r="O385" s="324"/>
      <c r="P385" s="586" t="s">
        <v>1753</v>
      </c>
      <c r="Q385" s="301"/>
      <c r="R385" s="177"/>
      <c r="S385" s="403"/>
      <c r="T385" s="525" t="s">
        <v>2477</v>
      </c>
      <c r="U385" s="525" t="s">
        <v>1892</v>
      </c>
      <c r="W385" s="446" t="s">
        <v>2398</v>
      </c>
      <c r="X385" s="446" t="s">
        <v>3410</v>
      </c>
      <c r="AA385" s="28"/>
      <c r="AB385" s="28"/>
      <c r="AC385" s="997"/>
      <c r="AD385" s="536"/>
    </row>
    <row r="386" spans="6:30" ht="10.5" customHeight="1">
      <c r="F386" s="347"/>
      <c r="G386" s="324"/>
      <c r="H386" s="324"/>
      <c r="I386" s="324"/>
      <c r="J386" s="324"/>
      <c r="K386" s="324"/>
      <c r="L386" s="324"/>
      <c r="M386" s="324"/>
      <c r="N386" s="324"/>
      <c r="O386" s="324"/>
      <c r="P386" s="586" t="s">
        <v>1006</v>
      </c>
      <c r="Q386" s="301"/>
      <c r="R386" s="177"/>
      <c r="S386" s="403"/>
      <c r="T386" s="525" t="s">
        <v>910</v>
      </c>
      <c r="U386" s="525" t="s">
        <v>2194</v>
      </c>
      <c r="W386" s="446" t="s">
        <v>841</v>
      </c>
      <c r="X386" s="446" t="s">
        <v>3410</v>
      </c>
      <c r="AA386" s="28"/>
      <c r="AB386" s="28"/>
      <c r="AC386" s="997"/>
      <c r="AD386" s="536"/>
    </row>
    <row r="387" spans="6:30" ht="10.5" customHeight="1">
      <c r="F387" s="347"/>
      <c r="G387" s="324"/>
      <c r="H387" s="324"/>
      <c r="I387" s="324"/>
      <c r="J387" s="324"/>
      <c r="K387" s="324"/>
      <c r="L387" s="324"/>
      <c r="M387" s="324"/>
      <c r="N387" s="324"/>
      <c r="O387" s="324"/>
      <c r="P387" s="586" t="s">
        <v>1007</v>
      </c>
      <c r="Q387" s="301"/>
      <c r="R387" s="177"/>
      <c r="S387" s="403"/>
      <c r="T387" s="292" t="s">
        <v>912</v>
      </c>
      <c r="U387" s="292" t="s">
        <v>1112</v>
      </c>
      <c r="W387" s="446" t="s">
        <v>843</v>
      </c>
      <c r="X387" s="446" t="s">
        <v>3410</v>
      </c>
      <c r="AA387" s="28"/>
      <c r="AB387" s="28"/>
      <c r="AC387" s="997"/>
      <c r="AD387" s="536"/>
    </row>
    <row r="388" spans="6:30" ht="10.5" customHeight="1">
      <c r="F388" s="347"/>
      <c r="G388" s="324"/>
      <c r="H388" s="324"/>
      <c r="I388" s="324"/>
      <c r="J388" s="324"/>
      <c r="K388" s="324"/>
      <c r="L388" s="324"/>
      <c r="M388" s="324"/>
      <c r="N388" s="324"/>
      <c r="O388" s="324"/>
      <c r="P388" s="586" t="s">
        <v>1009</v>
      </c>
      <c r="Q388" s="301"/>
      <c r="R388" s="177"/>
      <c r="S388" s="403"/>
      <c r="T388" s="525" t="s">
        <v>914</v>
      </c>
      <c r="U388" s="525" t="s">
        <v>669</v>
      </c>
      <c r="AA388" s="28"/>
      <c r="AB388" s="28"/>
      <c r="AC388" s="536"/>
      <c r="AD388" s="536"/>
    </row>
    <row r="389" spans="6:30" ht="10.5" customHeight="1">
      <c r="F389" s="347"/>
      <c r="G389" s="324"/>
      <c r="H389" s="324"/>
      <c r="I389" s="324"/>
      <c r="J389" s="324"/>
      <c r="K389" s="324"/>
      <c r="L389" s="324"/>
      <c r="M389" s="324"/>
      <c r="N389" s="324"/>
      <c r="O389" s="324"/>
      <c r="P389" s="586" t="s">
        <v>988</v>
      </c>
      <c r="Q389" s="301"/>
      <c r="R389" s="177"/>
      <c r="S389" s="403"/>
      <c r="T389" s="525" t="s">
        <v>916</v>
      </c>
      <c r="U389" s="525" t="s">
        <v>313</v>
      </c>
      <c r="AA389" s="28"/>
      <c r="AB389" s="28"/>
      <c r="AC389" s="997"/>
      <c r="AD389" s="536"/>
    </row>
    <row r="390" spans="6:30" ht="10.5" customHeight="1">
      <c r="F390" s="347"/>
      <c r="G390" s="324"/>
      <c r="H390" s="324"/>
      <c r="I390" s="324"/>
      <c r="J390" s="324"/>
      <c r="K390" s="324"/>
      <c r="L390" s="324"/>
      <c r="M390" s="324"/>
      <c r="N390" s="324"/>
      <c r="O390" s="324"/>
      <c r="P390" s="586" t="s">
        <v>990</v>
      </c>
      <c r="Q390" s="301"/>
      <c r="R390" s="177"/>
      <c r="S390" s="403"/>
      <c r="T390" s="525" t="s">
        <v>918</v>
      </c>
      <c r="U390" s="525" t="s">
        <v>1340</v>
      </c>
      <c r="AA390" s="28"/>
      <c r="AB390" s="28"/>
      <c r="AC390" s="997"/>
      <c r="AD390" s="536"/>
    </row>
    <row r="391" spans="6:30" ht="10.5" customHeight="1">
      <c r="F391" s="347"/>
      <c r="G391" s="324"/>
      <c r="H391" s="324"/>
      <c r="I391" s="324"/>
      <c r="J391" s="324"/>
      <c r="K391" s="324"/>
      <c r="L391" s="324"/>
      <c r="M391" s="324"/>
      <c r="N391" s="324"/>
      <c r="O391" s="324"/>
      <c r="P391" s="586" t="s">
        <v>992</v>
      </c>
      <c r="Q391" s="301"/>
      <c r="R391" s="177"/>
      <c r="S391" s="403"/>
      <c r="T391" s="292" t="s">
        <v>685</v>
      </c>
      <c r="U391" s="292" t="s">
        <v>2198</v>
      </c>
      <c r="AA391" s="28"/>
      <c r="AB391" s="28"/>
      <c r="AC391" s="997"/>
      <c r="AD391" s="536"/>
    </row>
    <row r="392" spans="6:30" ht="10.5" customHeight="1">
      <c r="F392" s="347"/>
      <c r="G392" s="324"/>
      <c r="H392" s="324"/>
      <c r="I392" s="324"/>
      <c r="J392" s="324"/>
      <c r="K392" s="324"/>
      <c r="L392" s="324"/>
      <c r="M392" s="324"/>
      <c r="N392" s="324"/>
      <c r="O392" s="324"/>
      <c r="P392" s="586" t="s">
        <v>994</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577</v>
      </c>
      <c r="Q393" s="301"/>
      <c r="R393" s="177"/>
      <c r="S393" s="403"/>
      <c r="T393" s="525" t="s">
        <v>970</v>
      </c>
      <c r="U393" s="525" t="s">
        <v>2023</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672</v>
      </c>
      <c r="U394" s="525" t="s">
        <v>2414</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1008</v>
      </c>
      <c r="U395" s="525" t="s">
        <v>1221</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1010</v>
      </c>
      <c r="U396" s="525" t="s">
        <v>2547</v>
      </c>
      <c r="AA396" s="28"/>
      <c r="AB396" s="28"/>
      <c r="AC396" s="997"/>
      <c r="AD396" s="536"/>
    </row>
    <row r="397" spans="6:30" ht="10.5" customHeight="1">
      <c r="F397" s="347"/>
      <c r="G397" s="324"/>
      <c r="H397" s="324"/>
      <c r="I397" s="324"/>
      <c r="J397" s="324"/>
      <c r="K397" s="324"/>
      <c r="L397" s="324"/>
      <c r="M397" s="324"/>
      <c r="N397" s="324"/>
      <c r="O397" s="324"/>
      <c r="P397" s="586" t="s">
        <v>601</v>
      </c>
      <c r="Q397" s="301"/>
      <c r="R397" s="177"/>
      <c r="S397" s="403"/>
      <c r="T397" s="292" t="s">
        <v>989</v>
      </c>
      <c r="U397" s="292" t="s">
        <v>430</v>
      </c>
      <c r="AA397" s="28"/>
      <c r="AB397" s="28"/>
      <c r="AC397" s="997"/>
      <c r="AD397" s="536"/>
    </row>
    <row r="398" spans="6:30" ht="10.5" customHeight="1">
      <c r="F398" s="347"/>
      <c r="G398" s="324"/>
      <c r="H398" s="324"/>
      <c r="I398" s="324"/>
      <c r="J398" s="324"/>
      <c r="K398" s="324"/>
      <c r="L398" s="324"/>
      <c r="M398" s="324"/>
      <c r="N398" s="324"/>
      <c r="O398" s="324"/>
      <c r="P398" s="586" t="s">
        <v>1427</v>
      </c>
      <c r="Q398" s="301"/>
      <c r="R398" s="177"/>
      <c r="S398" s="403"/>
      <c r="T398" s="525" t="s">
        <v>991</v>
      </c>
      <c r="U398" s="525" t="s">
        <v>122</v>
      </c>
      <c r="AA398" s="28"/>
      <c r="AB398" s="28"/>
      <c r="AC398" s="536"/>
      <c r="AD398" s="536"/>
    </row>
    <row r="399" spans="6:30" ht="10.5" customHeight="1">
      <c r="F399" s="347"/>
      <c r="G399" s="324"/>
      <c r="H399" s="324"/>
      <c r="I399" s="324"/>
      <c r="J399" s="324"/>
      <c r="K399" s="324"/>
      <c r="L399" s="324"/>
      <c r="M399" s="324"/>
      <c r="N399" s="324"/>
      <c r="O399" s="324"/>
      <c r="P399" s="586" t="s">
        <v>1605</v>
      </c>
      <c r="Q399" s="301"/>
      <c r="R399" s="177"/>
      <c r="S399" s="403"/>
      <c r="T399" s="525" t="s">
        <v>993</v>
      </c>
      <c r="U399" s="525" t="s">
        <v>676</v>
      </c>
      <c r="AA399" s="28"/>
      <c r="AB399" s="28"/>
      <c r="AC399" s="997"/>
      <c r="AD399" s="536"/>
    </row>
    <row r="400" spans="6:30" ht="10.5" customHeight="1">
      <c r="F400" s="347"/>
      <c r="G400" s="324"/>
      <c r="H400" s="324"/>
      <c r="I400" s="324"/>
      <c r="J400" s="324"/>
      <c r="K400" s="324"/>
      <c r="L400" s="324"/>
      <c r="M400" s="324"/>
      <c r="N400" s="324"/>
      <c r="O400" s="324"/>
      <c r="P400" s="586" t="s">
        <v>1016</v>
      </c>
      <c r="Q400" s="301"/>
      <c r="R400" s="177"/>
      <c r="S400" s="403"/>
      <c r="T400" s="525" t="s">
        <v>995</v>
      </c>
      <c r="U400" s="525" t="s">
        <v>1892</v>
      </c>
      <c r="AA400" s="28"/>
      <c r="AB400" s="28"/>
      <c r="AC400" s="997"/>
      <c r="AD400" s="536"/>
    </row>
    <row r="401" spans="6:30" ht="10.5" customHeight="1">
      <c r="F401" s="347"/>
      <c r="G401" s="324"/>
      <c r="H401" s="324"/>
      <c r="I401" s="324"/>
      <c r="J401" s="324"/>
      <c r="K401" s="324"/>
      <c r="L401" s="324"/>
      <c r="M401" s="324"/>
      <c r="N401" s="324"/>
      <c r="O401" s="324"/>
      <c r="P401" s="586" t="s">
        <v>1018</v>
      </c>
      <c r="Q401" s="301"/>
      <c r="R401" s="177"/>
      <c r="S401" s="403"/>
      <c r="T401" s="525" t="s">
        <v>1055</v>
      </c>
      <c r="U401" s="525" t="s">
        <v>633</v>
      </c>
      <c r="AA401" s="28"/>
      <c r="AB401" s="28"/>
      <c r="AC401" s="997"/>
      <c r="AD401" s="536"/>
    </row>
    <row r="402" spans="6:30" ht="10.5" customHeight="1">
      <c r="F402" s="347"/>
      <c r="G402" s="324"/>
      <c r="H402" s="324"/>
      <c r="I402" s="324"/>
      <c r="J402" s="324"/>
      <c r="K402" s="324"/>
      <c r="L402" s="324"/>
      <c r="M402" s="324"/>
      <c r="N402" s="324"/>
      <c r="O402" s="324"/>
      <c r="P402" s="586" t="s">
        <v>1020</v>
      </c>
      <c r="Q402" s="301"/>
      <c r="R402" s="177"/>
      <c r="S402" s="403"/>
      <c r="T402" s="525" t="s">
        <v>578</v>
      </c>
      <c r="U402" s="525" t="s">
        <v>2187</v>
      </c>
      <c r="AA402" s="28"/>
      <c r="AB402" s="28"/>
      <c r="AC402" s="997"/>
      <c r="AD402" s="536"/>
    </row>
    <row r="403" spans="6:30" ht="10.5" customHeight="1">
      <c r="F403" s="347"/>
      <c r="G403" s="324"/>
      <c r="H403" s="324"/>
      <c r="I403" s="324"/>
      <c r="J403" s="324"/>
      <c r="K403" s="324"/>
      <c r="L403" s="324"/>
      <c r="M403" s="324"/>
      <c r="N403" s="324"/>
      <c r="O403" s="324"/>
      <c r="P403" s="586" t="s">
        <v>1688</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1689</v>
      </c>
      <c r="Q404" s="301"/>
      <c r="R404" s="177"/>
      <c r="S404" s="403"/>
      <c r="T404" s="525" t="s">
        <v>376</v>
      </c>
      <c r="U404" s="525" t="s">
        <v>1467</v>
      </c>
      <c r="AA404" s="28"/>
      <c r="AB404" s="28"/>
      <c r="AC404" s="997"/>
      <c r="AD404" s="536"/>
    </row>
    <row r="405" spans="6:30" ht="10.5" customHeight="1">
      <c r="F405" s="347"/>
      <c r="G405" s="324"/>
      <c r="H405" s="324"/>
      <c r="I405" s="324"/>
      <c r="J405" s="324"/>
      <c r="K405" s="324"/>
      <c r="L405" s="324"/>
      <c r="M405" s="324"/>
      <c r="N405" s="324"/>
      <c r="O405" s="324"/>
      <c r="P405" s="586" t="s">
        <v>1690</v>
      </c>
      <c r="Q405" s="301"/>
      <c r="R405" s="177"/>
      <c r="S405" s="403"/>
      <c r="T405" s="525" t="s">
        <v>1056</v>
      </c>
      <c r="U405" s="525" t="s">
        <v>1925</v>
      </c>
      <c r="AA405" s="28"/>
      <c r="AB405" s="28"/>
      <c r="AC405" s="997"/>
      <c r="AD405" s="536"/>
    </row>
    <row r="406" spans="6:30" ht="10.5" customHeight="1">
      <c r="F406" s="347"/>
      <c r="G406" s="324"/>
      <c r="H406" s="324"/>
      <c r="I406" s="324"/>
      <c r="J406" s="324"/>
      <c r="K406" s="324"/>
      <c r="L406" s="324"/>
      <c r="M406" s="324"/>
      <c r="N406" s="324"/>
      <c r="O406" s="324"/>
      <c r="P406" s="586" t="s">
        <v>870</v>
      </c>
      <c r="Q406" s="301"/>
      <c r="R406" s="177"/>
      <c r="S406" s="403"/>
      <c r="T406" s="525" t="s">
        <v>378</v>
      </c>
      <c r="U406" s="525" t="s">
        <v>885</v>
      </c>
      <c r="AA406" s="28"/>
      <c r="AB406" s="28"/>
      <c r="AC406" s="997"/>
      <c r="AD406" s="536"/>
    </row>
    <row r="407" spans="6:30" ht="10.5" customHeight="1">
      <c r="F407" s="347"/>
      <c r="G407" s="324"/>
      <c r="H407" s="324"/>
      <c r="I407" s="324"/>
      <c r="J407" s="324"/>
      <c r="K407" s="324"/>
      <c r="L407" s="324"/>
      <c r="M407" s="324"/>
      <c r="N407" s="324"/>
      <c r="O407" s="324"/>
      <c r="P407" s="586" t="s">
        <v>872</v>
      </c>
      <c r="Q407" s="301"/>
      <c r="R407" s="177"/>
      <c r="S407" s="403"/>
      <c r="T407" s="525" t="s">
        <v>1428</v>
      </c>
      <c r="U407" s="525" t="s">
        <v>2259</v>
      </c>
      <c r="AA407" s="28"/>
      <c r="AB407" s="28"/>
      <c r="AC407" s="997"/>
      <c r="AD407" s="536"/>
    </row>
    <row r="408" spans="6:30" ht="10.5" customHeight="1">
      <c r="F408" s="347"/>
      <c r="G408" s="324"/>
      <c r="H408" s="324"/>
      <c r="I408" s="324"/>
      <c r="J408" s="324"/>
      <c r="K408" s="324"/>
      <c r="L408" s="324"/>
      <c r="M408" s="324"/>
      <c r="N408" s="324"/>
      <c r="O408" s="324"/>
      <c r="P408" s="586" t="s">
        <v>874</v>
      </c>
      <c r="Q408" s="301"/>
      <c r="R408" s="177"/>
      <c r="S408" s="403"/>
      <c r="T408" s="525" t="s">
        <v>1606</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1017</v>
      </c>
      <c r="U409" s="525" t="s">
        <v>317</v>
      </c>
      <c r="AA409" s="28"/>
      <c r="AB409" s="28"/>
      <c r="AC409" s="997"/>
      <c r="AD409" s="536"/>
    </row>
    <row r="410" spans="6:30" ht="10.5" customHeight="1">
      <c r="F410" s="347"/>
      <c r="G410" s="324"/>
      <c r="H410" s="324"/>
      <c r="I410" s="324"/>
      <c r="J410" s="324"/>
      <c r="K410" s="324"/>
      <c r="L410" s="324"/>
      <c r="M410" s="324"/>
      <c r="N410" s="324"/>
      <c r="O410" s="324"/>
      <c r="P410" s="586" t="s">
        <v>1734</v>
      </c>
      <c r="Q410" s="301"/>
      <c r="R410" s="177"/>
      <c r="S410" s="403"/>
      <c r="T410" s="292" t="s">
        <v>1019</v>
      </c>
      <c r="U410" s="292" t="s">
        <v>321</v>
      </c>
      <c r="AA410" s="28"/>
      <c r="AB410" s="28"/>
      <c r="AC410" s="997"/>
      <c r="AD410" s="536"/>
    </row>
    <row r="411" spans="6:30" ht="10.5" customHeight="1">
      <c r="F411" s="347"/>
      <c r="G411" s="324"/>
      <c r="H411" s="324"/>
      <c r="I411" s="324"/>
      <c r="J411" s="324"/>
      <c r="K411" s="324"/>
      <c r="L411" s="324"/>
      <c r="M411" s="324"/>
      <c r="N411" s="324"/>
      <c r="O411" s="324"/>
      <c r="P411" s="586" t="s">
        <v>2302</v>
      </c>
      <c r="Q411" s="301"/>
      <c r="R411" s="177"/>
      <c r="S411" s="403"/>
      <c r="T411" s="525" t="s">
        <v>1057</v>
      </c>
      <c r="U411" s="525" t="s">
        <v>2020</v>
      </c>
      <c r="AA411" s="28"/>
      <c r="AB411" s="28"/>
      <c r="AC411" s="536"/>
      <c r="AD411" s="536"/>
    </row>
    <row r="412" spans="6:30" ht="10.5" customHeight="1">
      <c r="F412" s="347"/>
      <c r="G412" s="324"/>
      <c r="H412" s="324"/>
      <c r="I412" s="324"/>
      <c r="J412" s="324"/>
      <c r="K412" s="324"/>
      <c r="L412" s="324"/>
      <c r="M412" s="324"/>
      <c r="N412" s="324"/>
      <c r="O412" s="324"/>
      <c r="P412" s="586" t="s">
        <v>2018</v>
      </c>
      <c r="Q412" s="301"/>
      <c r="R412" s="177"/>
      <c r="S412" s="403"/>
      <c r="T412" s="525" t="s">
        <v>1021</v>
      </c>
      <c r="U412" s="525" t="s">
        <v>1217</v>
      </c>
      <c r="AA412" s="28"/>
      <c r="AB412" s="28"/>
      <c r="AC412" s="997"/>
      <c r="AD412" s="536"/>
    </row>
    <row r="413" spans="6:30" ht="10.5" customHeight="1">
      <c r="F413" s="347"/>
      <c r="G413" s="324"/>
      <c r="H413" s="324"/>
      <c r="I413" s="324"/>
      <c r="J413" s="324"/>
      <c r="K413" s="324"/>
      <c r="L413" s="324"/>
      <c r="M413" s="324"/>
      <c r="N413" s="324"/>
      <c r="O413" s="324"/>
      <c r="P413" s="586" t="s">
        <v>1041</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1795</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1691</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871</v>
      </c>
      <c r="U416" s="525" t="s">
        <v>107</v>
      </c>
      <c r="AA416" s="28"/>
      <c r="AB416" s="28"/>
      <c r="AC416" s="997"/>
      <c r="AD416" s="536"/>
    </row>
    <row r="417" spans="6:30" ht="10.5" customHeight="1">
      <c r="F417" s="347"/>
      <c r="G417" s="324"/>
      <c r="H417" s="324"/>
      <c r="I417" s="324"/>
      <c r="J417" s="324"/>
      <c r="K417" s="324"/>
      <c r="L417" s="324"/>
      <c r="M417" s="324"/>
      <c r="N417" s="324"/>
      <c r="O417" s="324"/>
      <c r="P417" s="586" t="s">
        <v>1957</v>
      </c>
      <c r="Q417" s="301"/>
      <c r="R417" s="177"/>
      <c r="S417" s="403"/>
      <c r="T417" s="525" t="s">
        <v>873</v>
      </c>
      <c r="U417" s="525" t="s">
        <v>318</v>
      </c>
      <c r="AA417" s="28"/>
      <c r="AB417" s="28"/>
      <c r="AC417" s="997"/>
      <c r="AD417" s="536"/>
    </row>
    <row r="418" spans="6:30" ht="10.5" customHeight="1">
      <c r="F418" s="347"/>
      <c r="G418" s="324"/>
      <c r="H418" s="324"/>
      <c r="I418" s="324"/>
      <c r="J418" s="324"/>
      <c r="K418" s="324"/>
      <c r="L418" s="324"/>
      <c r="M418" s="324"/>
      <c r="N418" s="324"/>
      <c r="O418" s="324"/>
      <c r="P418" s="586" t="s">
        <v>495</v>
      </c>
      <c r="Q418" s="301"/>
      <c r="R418" s="177"/>
      <c r="S418" s="403"/>
      <c r="T418" s="525" t="s">
        <v>1752</v>
      </c>
      <c r="U418" s="525" t="s">
        <v>1108</v>
      </c>
      <c r="AA418" s="28"/>
      <c r="AB418" s="28"/>
      <c r="AC418" s="997"/>
      <c r="AD418" s="536"/>
    </row>
    <row r="419" spans="6:30" ht="10.5" customHeight="1">
      <c r="F419" s="347"/>
      <c r="G419" s="324"/>
      <c r="H419" s="324"/>
      <c r="I419" s="324"/>
      <c r="J419" s="324"/>
      <c r="K419" s="324"/>
      <c r="L419" s="324"/>
      <c r="M419" s="324"/>
      <c r="N419" s="324"/>
      <c r="O419" s="324"/>
      <c r="P419" s="586" t="s">
        <v>2176</v>
      </c>
      <c r="Q419" s="301"/>
      <c r="R419" s="177"/>
      <c r="S419" s="403"/>
      <c r="T419" s="525" t="s">
        <v>636</v>
      </c>
      <c r="U419" s="525" t="s">
        <v>328</v>
      </c>
      <c r="AA419" s="28"/>
      <c r="AB419" s="28"/>
      <c r="AC419" s="997"/>
      <c r="AD419" s="536"/>
    </row>
    <row r="420" spans="6:30" ht="10.5" customHeight="1">
      <c r="F420" s="347"/>
      <c r="G420" s="324"/>
      <c r="H420" s="324"/>
      <c r="I420" s="324"/>
      <c r="J420" s="324"/>
      <c r="K420" s="324"/>
      <c r="L420" s="324"/>
      <c r="M420" s="324"/>
      <c r="N420" s="324"/>
      <c r="O420" s="324"/>
      <c r="P420" s="586" t="s">
        <v>1657</v>
      </c>
      <c r="Q420" s="301"/>
      <c r="R420" s="177"/>
      <c r="S420" s="403"/>
      <c r="T420" s="525" t="s">
        <v>1735</v>
      </c>
      <c r="U420" s="525" t="s">
        <v>115</v>
      </c>
      <c r="AA420" s="28"/>
      <c r="AB420" s="28"/>
      <c r="AC420" s="997"/>
      <c r="AD420" s="536"/>
    </row>
    <row r="421" spans="6:30" ht="10.5" customHeight="1">
      <c r="F421" s="347"/>
      <c r="G421" s="324"/>
      <c r="H421" s="324"/>
      <c r="I421" s="324"/>
      <c r="J421" s="324"/>
      <c r="K421" s="324"/>
      <c r="L421" s="324"/>
      <c r="M421" s="324"/>
      <c r="N421" s="324"/>
      <c r="O421" s="324"/>
      <c r="P421" s="586" t="s">
        <v>1659</v>
      </c>
      <c r="Q421" s="301"/>
      <c r="R421" s="177"/>
      <c r="S421" s="403"/>
      <c r="T421" s="525" t="s">
        <v>2303</v>
      </c>
      <c r="U421" s="525" t="s">
        <v>879</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2019</v>
      </c>
      <c r="U423" s="525" t="s">
        <v>1118</v>
      </c>
      <c r="AA423" s="28"/>
      <c r="AB423" s="28"/>
      <c r="AC423" s="997"/>
      <c r="AD423" s="536"/>
    </row>
    <row r="424" spans="6:30" ht="10.5" customHeight="1">
      <c r="F424" s="347"/>
      <c r="G424" s="324"/>
      <c r="H424" s="324"/>
      <c r="I424" s="324"/>
      <c r="J424" s="324"/>
      <c r="K424" s="324"/>
      <c r="L424" s="324"/>
      <c r="M424" s="324"/>
      <c r="N424" s="324"/>
      <c r="O424" s="324"/>
      <c r="P424" s="586" t="s">
        <v>950</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2336</v>
      </c>
      <c r="Q425" s="301"/>
      <c r="R425" s="177"/>
      <c r="S425" s="403"/>
      <c r="T425" s="525" t="s">
        <v>1042</v>
      </c>
      <c r="U425" s="525" t="s">
        <v>1925</v>
      </c>
      <c r="AA425" s="28"/>
      <c r="AB425" s="28"/>
      <c r="AC425" s="536"/>
      <c r="AD425" s="536"/>
    </row>
    <row r="426" spans="6:30" ht="10.5" customHeight="1">
      <c r="F426" s="347"/>
      <c r="G426" s="324"/>
      <c r="H426" s="324"/>
      <c r="I426" s="324"/>
      <c r="J426" s="324"/>
      <c r="K426" s="324"/>
      <c r="L426" s="324"/>
      <c r="M426" s="324"/>
      <c r="N426" s="324"/>
      <c r="O426" s="324"/>
      <c r="P426" s="586" t="s">
        <v>2337</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2318</v>
      </c>
      <c r="Q427" s="301"/>
      <c r="R427" s="177"/>
      <c r="S427" s="403"/>
      <c r="T427" s="525" t="s">
        <v>1058</v>
      </c>
      <c r="U427" s="525" t="s">
        <v>1105</v>
      </c>
      <c r="AA427" s="28"/>
      <c r="AB427" s="28"/>
      <c r="AC427" s="536"/>
      <c r="AD427" s="536"/>
    </row>
    <row r="428" spans="6:30" ht="10.5" customHeight="1">
      <c r="F428" s="347"/>
      <c r="G428" s="324"/>
      <c r="H428" s="324"/>
      <c r="I428" s="324"/>
      <c r="J428" s="324"/>
      <c r="K428" s="324"/>
      <c r="L428" s="324"/>
      <c r="M428" s="324"/>
      <c r="N428" s="324"/>
      <c r="O428" s="324"/>
      <c r="P428" s="586" t="s">
        <v>2319</v>
      </c>
      <c r="Q428" s="301"/>
      <c r="R428" s="177"/>
      <c r="S428" s="403"/>
      <c r="T428" s="292" t="s">
        <v>417</v>
      </c>
      <c r="U428" s="292" t="s">
        <v>2183</v>
      </c>
      <c r="AA428" s="28"/>
      <c r="AB428" s="28"/>
      <c r="AC428" s="997"/>
      <c r="AD428" s="536"/>
    </row>
    <row r="429" spans="6:30" ht="10.5" customHeight="1">
      <c r="F429" s="347"/>
      <c r="G429" s="324"/>
      <c r="H429" s="324"/>
      <c r="I429" s="324"/>
      <c r="J429" s="324"/>
      <c r="K429" s="324"/>
      <c r="L429" s="324"/>
      <c r="M429" s="324"/>
      <c r="N429" s="324"/>
      <c r="O429" s="324"/>
      <c r="P429" s="586" t="s">
        <v>2321</v>
      </c>
      <c r="Q429" s="301"/>
      <c r="R429" s="177"/>
      <c r="S429" s="403"/>
      <c r="T429" s="525" t="s">
        <v>1958</v>
      </c>
      <c r="U429" s="525" t="s">
        <v>1467</v>
      </c>
      <c r="AA429" s="28"/>
      <c r="AB429" s="28"/>
      <c r="AC429" s="536"/>
      <c r="AD429" s="536"/>
    </row>
    <row r="430" spans="6:30" ht="10.5" customHeight="1">
      <c r="F430" s="347"/>
      <c r="G430" s="324"/>
      <c r="H430" s="324"/>
      <c r="I430" s="324"/>
      <c r="J430" s="324"/>
      <c r="K430" s="324"/>
      <c r="L430" s="324"/>
      <c r="M430" s="324"/>
      <c r="N430" s="324"/>
      <c r="O430" s="324"/>
      <c r="P430" s="586" t="s">
        <v>513</v>
      </c>
      <c r="Q430" s="301"/>
      <c r="R430" s="177"/>
      <c r="S430" s="403"/>
      <c r="T430" s="525" t="s">
        <v>496</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2177</v>
      </c>
      <c r="U431" s="525" t="s">
        <v>1334</v>
      </c>
      <c r="AA431" s="28"/>
      <c r="AB431" s="28"/>
      <c r="AC431" s="997"/>
      <c r="AD431" s="536"/>
    </row>
    <row r="432" spans="6:30" ht="10.5" customHeight="1">
      <c r="F432" s="347"/>
      <c r="G432" s="324"/>
      <c r="H432" s="324"/>
      <c r="I432" s="324"/>
      <c r="J432" s="324"/>
      <c r="K432" s="324"/>
      <c r="L432" s="324"/>
      <c r="M432" s="324"/>
      <c r="N432" s="324"/>
      <c r="O432" s="324"/>
      <c r="P432" s="586" t="s">
        <v>2129</v>
      </c>
      <c r="Q432" s="301"/>
      <c r="R432" s="177"/>
      <c r="S432" s="403"/>
      <c r="T432" s="525" t="s">
        <v>1658</v>
      </c>
      <c r="U432" s="525" t="s">
        <v>1929</v>
      </c>
      <c r="AA432" s="28"/>
      <c r="AB432" s="28"/>
      <c r="AC432" s="997"/>
      <c r="AD432" s="536"/>
    </row>
    <row r="433" spans="6:30" ht="10.5" customHeight="1">
      <c r="F433" s="347"/>
      <c r="G433" s="324"/>
      <c r="H433" s="324"/>
      <c r="I433" s="324"/>
      <c r="J433" s="324"/>
      <c r="K433" s="324"/>
      <c r="L433" s="324"/>
      <c r="M433" s="324"/>
      <c r="N433" s="324"/>
      <c r="O433" s="324"/>
      <c r="P433" s="586" t="s">
        <v>1990</v>
      </c>
      <c r="Q433" s="301"/>
      <c r="R433" s="177"/>
      <c r="S433" s="403"/>
      <c r="T433" s="525" t="s">
        <v>1660</v>
      </c>
      <c r="U433" s="525" t="s">
        <v>165</v>
      </c>
      <c r="AA433" s="28"/>
      <c r="AB433" s="28"/>
      <c r="AC433" s="997"/>
      <c r="AD433" s="536"/>
    </row>
    <row r="434" spans="6:30" ht="10.5" customHeight="1">
      <c r="F434" s="347"/>
      <c r="G434" s="324"/>
      <c r="H434" s="324"/>
      <c r="I434" s="324"/>
      <c r="J434" s="324"/>
      <c r="K434" s="324"/>
      <c r="L434" s="324"/>
      <c r="M434" s="324"/>
      <c r="N434" s="324"/>
      <c r="O434" s="324"/>
      <c r="P434" s="586" t="s">
        <v>1992</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1154</v>
      </c>
      <c r="Q435" s="301"/>
      <c r="R435" s="177"/>
      <c r="S435" s="403"/>
      <c r="T435" s="525" t="s">
        <v>311</v>
      </c>
      <c r="U435" s="525" t="s">
        <v>1321</v>
      </c>
      <c r="AA435" s="28"/>
      <c r="AB435" s="28"/>
      <c r="AC435" s="997"/>
      <c r="AD435" s="536"/>
    </row>
    <row r="436" spans="6:30" ht="10.5" customHeight="1">
      <c r="F436" s="347"/>
      <c r="G436" s="324"/>
      <c r="H436" s="324"/>
      <c r="I436" s="324"/>
      <c r="J436" s="324"/>
      <c r="K436" s="324"/>
      <c r="L436" s="324"/>
      <c r="M436" s="324"/>
      <c r="N436" s="324"/>
      <c r="O436" s="324"/>
      <c r="P436" s="586" t="s">
        <v>1156</v>
      </c>
      <c r="Q436" s="301"/>
      <c r="R436" s="177"/>
      <c r="S436" s="403"/>
      <c r="T436" s="525" t="s">
        <v>951</v>
      </c>
      <c r="U436" s="525" t="s">
        <v>2499</v>
      </c>
      <c r="AA436" s="28"/>
      <c r="AB436" s="28"/>
      <c r="AC436" s="997"/>
      <c r="AD436" s="536"/>
    </row>
    <row r="437" spans="6:30" ht="10.5" customHeight="1">
      <c r="F437" s="347"/>
      <c r="G437" s="324"/>
      <c r="H437" s="324"/>
      <c r="I437" s="324"/>
      <c r="J437" s="324"/>
      <c r="K437" s="324"/>
      <c r="L437" s="324"/>
      <c r="M437" s="324"/>
      <c r="N437" s="324"/>
      <c r="O437" s="324"/>
      <c r="P437" s="586" t="s">
        <v>1122</v>
      </c>
      <c r="Q437" s="301"/>
      <c r="R437" s="177"/>
      <c r="S437" s="403"/>
      <c r="T437" s="525" t="s">
        <v>2338</v>
      </c>
      <c r="U437" s="525" t="s">
        <v>325</v>
      </c>
      <c r="AA437" s="28"/>
      <c r="AB437" s="28"/>
      <c r="AC437" s="997"/>
      <c r="AD437" s="536"/>
    </row>
    <row r="438" spans="6:30" ht="10.5" customHeight="1">
      <c r="F438" s="347"/>
      <c r="G438" s="324"/>
      <c r="H438" s="324"/>
      <c r="I438" s="324"/>
      <c r="J438" s="324"/>
      <c r="K438" s="324"/>
      <c r="L438" s="324"/>
      <c r="M438" s="324"/>
      <c r="N438" s="324"/>
      <c r="O438" s="324"/>
      <c r="P438" s="586" t="s">
        <v>1123</v>
      </c>
      <c r="Q438" s="301"/>
      <c r="R438" s="177"/>
      <c r="S438" s="403"/>
      <c r="T438" s="525" t="s">
        <v>2881</v>
      </c>
      <c r="U438" s="525" t="s">
        <v>2200</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2320</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2322</v>
      </c>
      <c r="U440" s="525" t="s">
        <v>1331</v>
      </c>
      <c r="AA440" s="28"/>
      <c r="AB440" s="28"/>
      <c r="AC440" s="998"/>
      <c r="AD440" s="536"/>
    </row>
    <row r="441" spans="6:30" ht="10.5" customHeight="1">
      <c r="F441" s="347"/>
      <c r="G441" s="324"/>
      <c r="H441" s="324"/>
      <c r="I441" s="324"/>
      <c r="J441" s="324"/>
      <c r="K441" s="324"/>
      <c r="L441" s="324"/>
      <c r="M441" s="324"/>
      <c r="N441" s="324"/>
      <c r="O441" s="324"/>
      <c r="P441" s="586" t="s">
        <v>2264</v>
      </c>
      <c r="Q441" s="301"/>
      <c r="R441" s="177"/>
      <c r="S441" s="403"/>
      <c r="T441" s="525" t="s">
        <v>514</v>
      </c>
      <c r="U441" s="525" t="s">
        <v>180</v>
      </c>
      <c r="AA441" s="28"/>
      <c r="AB441" s="28"/>
      <c r="AC441" s="997"/>
      <c r="AD441" s="536"/>
    </row>
    <row r="442" spans="6:30" ht="10.5" customHeight="1">
      <c r="F442" s="347"/>
      <c r="G442" s="324"/>
      <c r="H442" s="324"/>
      <c r="I442" s="324"/>
      <c r="J442" s="324"/>
      <c r="K442" s="324"/>
      <c r="L442" s="324"/>
      <c r="M442" s="324"/>
      <c r="N442" s="324"/>
      <c r="O442" s="324"/>
      <c r="P442" s="586" t="s">
        <v>1830</v>
      </c>
      <c r="Q442" s="301"/>
      <c r="R442" s="177"/>
      <c r="S442" s="403"/>
      <c r="T442" s="525" t="s">
        <v>1059</v>
      </c>
      <c r="U442" s="525" t="s">
        <v>1531</v>
      </c>
      <c r="AA442" s="28"/>
      <c r="AB442" s="28"/>
      <c r="AC442" s="997"/>
      <c r="AD442" s="536"/>
    </row>
    <row r="443" spans="6:30" ht="10.5" customHeight="1">
      <c r="F443" s="347"/>
      <c r="G443" s="324"/>
      <c r="H443" s="324"/>
      <c r="I443" s="324"/>
      <c r="J443" s="324"/>
      <c r="K443" s="324"/>
      <c r="L443" s="324"/>
      <c r="M443" s="324"/>
      <c r="N443" s="324"/>
      <c r="O443" s="324"/>
      <c r="P443" s="586" t="s">
        <v>1767</v>
      </c>
      <c r="Q443" s="301"/>
      <c r="R443" s="177"/>
      <c r="S443" s="403"/>
      <c r="T443" s="525" t="s">
        <v>188</v>
      </c>
      <c r="U443" s="525" t="s">
        <v>2185</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1060</v>
      </c>
      <c r="U444" s="292" t="s">
        <v>2498</v>
      </c>
      <c r="AA444" s="28"/>
      <c r="AB444" s="28"/>
      <c r="AC444" s="997"/>
      <c r="AD444" s="536"/>
    </row>
    <row r="445" spans="6:30" ht="10.5" customHeight="1">
      <c r="F445" s="347"/>
      <c r="G445" s="324"/>
      <c r="H445" s="324"/>
      <c r="I445" s="324"/>
      <c r="J445" s="324"/>
      <c r="K445" s="324"/>
      <c r="L445" s="324"/>
      <c r="M445" s="324"/>
      <c r="N445" s="324"/>
      <c r="O445" s="324"/>
      <c r="P445" s="586" t="s">
        <v>2369</v>
      </c>
      <c r="Q445" s="301"/>
      <c r="R445" s="177"/>
      <c r="S445" s="403"/>
      <c r="T445" s="525" t="s">
        <v>1989</v>
      </c>
      <c r="U445" s="525" t="s">
        <v>2414</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1061</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1991</v>
      </c>
      <c r="U447" s="525" t="s">
        <v>2414</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1342</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1155</v>
      </c>
      <c r="U449" s="525" t="s">
        <v>879</v>
      </c>
      <c r="AA449" s="28"/>
      <c r="AB449" s="28"/>
      <c r="AC449" s="997"/>
      <c r="AD449" s="536"/>
    </row>
    <row r="450" spans="6:30" ht="10.5" customHeight="1">
      <c r="F450" s="347"/>
      <c r="G450" s="324"/>
      <c r="H450" s="324"/>
      <c r="I450" s="324"/>
      <c r="J450" s="324"/>
      <c r="K450" s="324"/>
      <c r="L450" s="324"/>
      <c r="M450" s="324"/>
      <c r="N450" s="324"/>
      <c r="O450" s="324"/>
      <c r="P450" s="586" t="s">
        <v>1251</v>
      </c>
      <c r="Q450" s="301"/>
      <c r="R450" s="177"/>
      <c r="S450" s="403"/>
      <c r="T450" s="525" t="s">
        <v>1121</v>
      </c>
      <c r="U450" s="525" t="s">
        <v>882</v>
      </c>
      <c r="AA450" s="28"/>
      <c r="AB450" s="28"/>
      <c r="AC450" s="997"/>
      <c r="AD450" s="536"/>
    </row>
    <row r="451" spans="6:30" ht="10.5" customHeight="1">
      <c r="F451" s="347"/>
      <c r="G451" s="324"/>
      <c r="H451" s="324"/>
      <c r="I451" s="324"/>
      <c r="J451" s="324"/>
      <c r="K451" s="324"/>
      <c r="L451" s="324"/>
      <c r="M451" s="324"/>
      <c r="N451" s="324"/>
      <c r="O451" s="324"/>
      <c r="P451" s="586" t="s">
        <v>1253</v>
      </c>
      <c r="Q451" s="301"/>
      <c r="R451" s="177"/>
      <c r="S451" s="403"/>
      <c r="T451" s="525" t="s">
        <v>327</v>
      </c>
      <c r="U451" s="525" t="s">
        <v>1102</v>
      </c>
      <c r="AA451" s="28"/>
      <c r="AB451" s="28"/>
      <c r="AC451" s="997"/>
      <c r="AD451" s="536"/>
    </row>
    <row r="452" spans="6:30" ht="10.5" customHeight="1">
      <c r="F452" s="347"/>
      <c r="G452" s="324"/>
      <c r="H452" s="324"/>
      <c r="I452" s="324"/>
      <c r="J452" s="324"/>
      <c r="K452" s="324"/>
      <c r="L452" s="324"/>
      <c r="M452" s="324"/>
      <c r="N452" s="324"/>
      <c r="O452" s="324"/>
      <c r="P452" s="586" t="s">
        <v>2008</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2009</v>
      </c>
      <c r="Q453" s="301"/>
      <c r="R453" s="177"/>
      <c r="S453" s="403"/>
      <c r="T453" s="292" t="s">
        <v>74</v>
      </c>
      <c r="U453" s="292" t="s">
        <v>1933</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2265</v>
      </c>
      <c r="U454" s="292" t="s">
        <v>1342</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1766</v>
      </c>
      <c r="U455" s="525" t="s">
        <v>2023</v>
      </c>
      <c r="AA455" s="28"/>
      <c r="AB455" s="28"/>
      <c r="AC455" s="536"/>
      <c r="AD455" s="536"/>
    </row>
    <row r="456" spans="6:30" ht="10.5" customHeight="1">
      <c r="F456" s="347"/>
      <c r="G456" s="324"/>
      <c r="H456" s="324"/>
      <c r="I456" s="324"/>
      <c r="J456" s="324"/>
      <c r="K456" s="324"/>
      <c r="L456" s="324"/>
      <c r="M456" s="324"/>
      <c r="N456" s="324"/>
      <c r="O456" s="324"/>
      <c r="P456" s="586" t="s">
        <v>2427</v>
      </c>
      <c r="Q456" s="301"/>
      <c r="R456" s="177"/>
      <c r="S456" s="403"/>
      <c r="T456" s="525" t="s">
        <v>1768</v>
      </c>
      <c r="U456" s="525" t="s">
        <v>109</v>
      </c>
      <c r="AA456" s="28"/>
      <c r="AB456" s="28"/>
      <c r="AC456" s="997"/>
      <c r="AD456" s="536"/>
    </row>
    <row r="457" spans="6:30" ht="10.5" customHeight="1">
      <c r="F457" s="347"/>
      <c r="G457" s="324"/>
      <c r="H457" s="324"/>
      <c r="I457" s="324"/>
      <c r="J457" s="324"/>
      <c r="K457" s="324"/>
      <c r="L457" s="324"/>
      <c r="M457" s="324"/>
      <c r="N457" s="324"/>
      <c r="O457" s="324"/>
      <c r="P457" s="586" t="s">
        <v>2214</v>
      </c>
      <c r="Q457" s="301"/>
      <c r="R457" s="177"/>
      <c r="S457" s="403"/>
      <c r="T457" s="525" t="s">
        <v>697</v>
      </c>
      <c r="U457" s="525" t="s">
        <v>1217</v>
      </c>
      <c r="AA457" s="28"/>
      <c r="AB457" s="28"/>
      <c r="AC457" s="997"/>
      <c r="AD457" s="536"/>
    </row>
    <row r="458" spans="6:30" ht="10.5" customHeight="1">
      <c r="F458" s="347"/>
      <c r="G458" s="324"/>
      <c r="H458" s="324"/>
      <c r="I458" s="324"/>
      <c r="J458" s="324"/>
      <c r="K458" s="324"/>
      <c r="L458" s="324"/>
      <c r="M458" s="324"/>
      <c r="N458" s="324"/>
      <c r="O458" s="324"/>
      <c r="P458" s="586" t="s">
        <v>2215</v>
      </c>
      <c r="Q458" s="301"/>
      <c r="R458" s="177"/>
      <c r="S458" s="403"/>
      <c r="T458" s="525" t="s">
        <v>2368</v>
      </c>
      <c r="U458" s="525" t="s">
        <v>2498</v>
      </c>
      <c r="AA458" s="28"/>
      <c r="AB458" s="28"/>
      <c r="AC458" s="997"/>
      <c r="AD458" s="536"/>
    </row>
    <row r="459" spans="6:30" ht="10.5" customHeight="1">
      <c r="F459" s="347"/>
      <c r="G459" s="324"/>
      <c r="H459" s="324"/>
      <c r="I459" s="324"/>
      <c r="J459" s="324"/>
      <c r="K459" s="324"/>
      <c r="L459" s="324"/>
      <c r="M459" s="324"/>
      <c r="N459" s="324"/>
      <c r="O459" s="324"/>
      <c r="P459" s="586" t="s">
        <v>974</v>
      </c>
      <c r="Q459" s="301"/>
      <c r="R459" s="177"/>
      <c r="S459" s="403"/>
      <c r="T459" s="525" t="s">
        <v>2370</v>
      </c>
      <c r="U459" s="525" t="s">
        <v>2194</v>
      </c>
      <c r="AA459" s="28"/>
      <c r="AB459" s="28"/>
      <c r="AC459" s="997"/>
      <c r="AD459" s="536"/>
    </row>
    <row r="460" spans="6:30" ht="10.5" customHeight="1">
      <c r="F460" s="347"/>
      <c r="G460" s="324"/>
      <c r="H460" s="324"/>
      <c r="I460" s="324"/>
      <c r="J460" s="324"/>
      <c r="K460" s="324"/>
      <c r="L460" s="324"/>
      <c r="M460" s="324"/>
      <c r="N460" s="324"/>
      <c r="O460" s="324"/>
      <c r="P460" s="586" t="s">
        <v>976</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1501</v>
      </c>
      <c r="Q461" s="301"/>
      <c r="R461" s="177"/>
      <c r="S461" s="403"/>
      <c r="T461" s="525" t="s">
        <v>477</v>
      </c>
      <c r="U461" s="525" t="s">
        <v>1340</v>
      </c>
      <c r="AA461" s="28"/>
      <c r="AB461" s="28"/>
      <c r="AC461" s="997"/>
      <c r="AD461" s="536"/>
    </row>
    <row r="462" spans="6:30" ht="10.5" customHeight="1">
      <c r="F462" s="347"/>
      <c r="G462" s="324"/>
      <c r="H462" s="324"/>
      <c r="I462" s="324"/>
      <c r="J462" s="324"/>
      <c r="K462" s="324"/>
      <c r="L462" s="324"/>
      <c r="M462" s="324"/>
      <c r="N462" s="324"/>
      <c r="O462" s="324"/>
      <c r="P462" s="586" t="s">
        <v>1502</v>
      </c>
      <c r="Q462" s="301"/>
      <c r="R462" s="177"/>
      <c r="S462" s="403"/>
      <c r="T462" s="525" t="s">
        <v>1062</v>
      </c>
      <c r="U462" s="525" t="s">
        <v>1345</v>
      </c>
      <c r="AA462" s="28"/>
      <c r="AB462" s="28"/>
      <c r="AC462" s="997"/>
      <c r="AD462" s="536"/>
    </row>
    <row r="463" spans="6:30" ht="10.5" customHeight="1">
      <c r="F463" s="347"/>
      <c r="G463" s="324"/>
      <c r="H463" s="324"/>
      <c r="I463" s="324"/>
      <c r="J463" s="324"/>
      <c r="K463" s="324"/>
      <c r="L463" s="324"/>
      <c r="M463" s="324"/>
      <c r="N463" s="324"/>
      <c r="O463" s="324"/>
      <c r="P463" s="586" t="s">
        <v>1504</v>
      </c>
      <c r="Q463" s="301"/>
      <c r="R463" s="177"/>
      <c r="S463" s="403"/>
      <c r="T463" s="525" t="s">
        <v>479</v>
      </c>
      <c r="U463" s="525" t="s">
        <v>1345</v>
      </c>
      <c r="AA463" s="28"/>
      <c r="AB463" s="28"/>
      <c r="AC463" s="997"/>
      <c r="AD463" s="536"/>
    </row>
    <row r="464" spans="6:30" ht="10.5" customHeight="1">
      <c r="F464" s="347"/>
      <c r="G464" s="324"/>
      <c r="H464" s="324"/>
      <c r="I464" s="324"/>
      <c r="J464" s="324"/>
      <c r="K464" s="324"/>
      <c r="L464" s="324"/>
      <c r="M464" s="324"/>
      <c r="N464" s="324"/>
      <c r="O464" s="324"/>
      <c r="P464" s="586" t="s">
        <v>1506</v>
      </c>
      <c r="Q464" s="301"/>
      <c r="R464" s="177"/>
      <c r="S464" s="403"/>
      <c r="T464" s="292" t="s">
        <v>1252</v>
      </c>
      <c r="U464" s="292" t="s">
        <v>1325</v>
      </c>
      <c r="AA464" s="28"/>
      <c r="AB464" s="28"/>
      <c r="AC464" s="997"/>
      <c r="AD464" s="536"/>
    </row>
    <row r="465" spans="6:30" ht="10.5" customHeight="1">
      <c r="F465" s="347"/>
      <c r="G465" s="324"/>
      <c r="H465" s="324"/>
      <c r="I465" s="324"/>
      <c r="J465" s="324"/>
      <c r="K465" s="324"/>
      <c r="L465" s="324"/>
      <c r="M465" s="324"/>
      <c r="N465" s="324"/>
      <c r="O465" s="324"/>
      <c r="P465" s="586" t="s">
        <v>1508</v>
      </c>
      <c r="Q465" s="301"/>
      <c r="R465" s="177"/>
      <c r="S465" s="403"/>
      <c r="T465" s="525" t="s">
        <v>1254</v>
      </c>
      <c r="U465" s="525" t="s">
        <v>334</v>
      </c>
      <c r="AA465" s="28"/>
      <c r="AB465" s="28"/>
      <c r="AC465" s="536"/>
      <c r="AD465" s="536"/>
    </row>
    <row r="466" spans="6:30" ht="10.5" customHeight="1">
      <c r="F466" s="347"/>
      <c r="G466" s="324"/>
      <c r="H466" s="324"/>
      <c r="I466" s="324"/>
      <c r="J466" s="324"/>
      <c r="K466" s="324"/>
      <c r="L466" s="324"/>
      <c r="M466" s="324"/>
      <c r="N466" s="324"/>
      <c r="O466" s="324"/>
      <c r="P466" s="586" t="s">
        <v>2353</v>
      </c>
      <c r="Q466" s="301"/>
      <c r="R466" s="177"/>
      <c r="S466" s="403"/>
      <c r="T466" s="525" t="s">
        <v>2882</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2010</v>
      </c>
      <c r="U467" s="525" t="s">
        <v>2022</v>
      </c>
      <c r="AA467" s="28"/>
      <c r="AB467" s="28"/>
      <c r="AC467" s="997"/>
      <c r="AD467" s="536"/>
    </row>
    <row r="468" spans="6:30" ht="10.5" customHeight="1">
      <c r="F468" s="347"/>
      <c r="G468" s="324"/>
      <c r="H468" s="324"/>
      <c r="I468" s="324"/>
      <c r="J468" s="324"/>
      <c r="K468" s="324"/>
      <c r="L468" s="324"/>
      <c r="M468" s="324"/>
      <c r="N468" s="324"/>
      <c r="O468" s="324"/>
      <c r="P468" s="586" t="s">
        <v>1292</v>
      </c>
      <c r="Q468" s="301"/>
      <c r="R468" s="177"/>
      <c r="S468" s="403"/>
      <c r="T468" s="525" t="s">
        <v>77</v>
      </c>
      <c r="U468" s="525" t="s">
        <v>1929</v>
      </c>
      <c r="AA468" s="28"/>
      <c r="AB468" s="28"/>
      <c r="AC468" s="997"/>
      <c r="AD468" s="536"/>
    </row>
    <row r="469" spans="6:30" ht="10.5" customHeight="1">
      <c r="F469" s="347"/>
      <c r="G469" s="324"/>
      <c r="H469" s="324"/>
      <c r="I469" s="324"/>
      <c r="J469" s="324"/>
      <c r="K469" s="324"/>
      <c r="L469" s="324"/>
      <c r="M469" s="324"/>
      <c r="N469" s="324"/>
      <c r="O469" s="324"/>
      <c r="P469" s="586" t="s">
        <v>1519</v>
      </c>
      <c r="Q469" s="301"/>
      <c r="R469" s="177"/>
      <c r="S469" s="403"/>
      <c r="T469" s="525" t="s">
        <v>637</v>
      </c>
      <c r="U469" s="525" t="s">
        <v>2498</v>
      </c>
      <c r="AA469" s="28"/>
      <c r="AB469" s="28"/>
      <c r="AC469" s="997"/>
      <c r="AD469" s="536"/>
    </row>
    <row r="470" spans="6:30" ht="10.5" customHeight="1">
      <c r="F470" s="347"/>
      <c r="G470" s="324"/>
      <c r="H470" s="324"/>
      <c r="I470" s="324"/>
      <c r="J470" s="324"/>
      <c r="K470" s="324"/>
      <c r="L470" s="324"/>
      <c r="M470" s="324"/>
      <c r="N470" s="324"/>
      <c r="O470" s="324"/>
      <c r="P470" s="586" t="s">
        <v>826</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827</v>
      </c>
      <c r="Q471" s="301"/>
      <c r="R471" s="177"/>
      <c r="S471" s="403"/>
      <c r="T471" s="525" t="s">
        <v>2428</v>
      </c>
      <c r="U471" s="525" t="s">
        <v>1463</v>
      </c>
      <c r="AA471" s="28"/>
      <c r="AB471" s="28"/>
      <c r="AC471" s="997"/>
      <c r="AD471" s="536"/>
    </row>
    <row r="472" spans="6:30" ht="10.5" customHeight="1">
      <c r="F472" s="347"/>
      <c r="G472" s="324"/>
      <c r="H472" s="324"/>
      <c r="I472" s="324"/>
      <c r="J472" s="324"/>
      <c r="K472" s="324"/>
      <c r="L472" s="324"/>
      <c r="M472" s="324"/>
      <c r="N472" s="324"/>
      <c r="O472" s="324"/>
      <c r="P472" s="586" t="s">
        <v>829</v>
      </c>
      <c r="Q472" s="301"/>
      <c r="R472" s="177"/>
      <c r="S472" s="403"/>
      <c r="T472" s="525" t="s">
        <v>1063</v>
      </c>
      <c r="U472" s="525" t="s">
        <v>1531</v>
      </c>
      <c r="AA472" s="28"/>
      <c r="AB472" s="28"/>
      <c r="AC472" s="997"/>
      <c r="AD472" s="536"/>
    </row>
    <row r="473" spans="6:30" ht="10.5" customHeight="1">
      <c r="F473" s="347"/>
      <c r="G473" s="324"/>
      <c r="H473" s="324"/>
      <c r="I473" s="324"/>
      <c r="J473" s="324"/>
      <c r="K473" s="324"/>
      <c r="L473" s="324"/>
      <c r="M473" s="324"/>
      <c r="N473" s="324"/>
      <c r="O473" s="324"/>
      <c r="P473" s="586" t="s">
        <v>830</v>
      </c>
      <c r="Q473" s="301"/>
      <c r="R473" s="177"/>
      <c r="S473" s="403"/>
      <c r="T473" s="525" t="s">
        <v>1064</v>
      </c>
      <c r="U473" s="525" t="s">
        <v>1119</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618</v>
      </c>
      <c r="U474" s="525" t="s">
        <v>665</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975</v>
      </c>
      <c r="U475" s="525" t="s">
        <v>122</v>
      </c>
      <c r="AA475" s="28"/>
      <c r="AB475" s="28"/>
      <c r="AC475" s="997"/>
      <c r="AD475" s="536"/>
    </row>
    <row r="476" spans="6:30" ht="10.5" customHeight="1">
      <c r="F476" s="347"/>
      <c r="G476" s="324"/>
      <c r="H476" s="324"/>
      <c r="I476" s="324"/>
      <c r="J476" s="324"/>
      <c r="K476" s="324"/>
      <c r="L476" s="324"/>
      <c r="M476" s="324"/>
      <c r="N476" s="324"/>
      <c r="O476" s="324"/>
      <c r="P476" s="586" t="s">
        <v>1516</v>
      </c>
      <c r="Q476" s="301"/>
      <c r="R476" s="177"/>
      <c r="S476" s="403"/>
      <c r="T476" s="525" t="s">
        <v>977</v>
      </c>
      <c r="U476" s="525" t="s">
        <v>1343</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1503</v>
      </c>
      <c r="U477" s="525" t="s">
        <v>1466</v>
      </c>
      <c r="AA477" s="28"/>
      <c r="AB477" s="28"/>
      <c r="AC477" s="997"/>
      <c r="AD477" s="536"/>
    </row>
    <row r="478" spans="6:30" ht="10.5" customHeight="1">
      <c r="F478" s="347"/>
      <c r="G478" s="324"/>
      <c r="H478" s="324"/>
      <c r="I478" s="324"/>
      <c r="J478" s="324"/>
      <c r="K478" s="324"/>
      <c r="L478" s="324"/>
      <c r="M478" s="324"/>
      <c r="N478" s="324"/>
      <c r="O478" s="324"/>
      <c r="P478" s="586" t="s">
        <v>1521</v>
      </c>
      <c r="Q478" s="301"/>
      <c r="R478" s="177"/>
      <c r="S478" s="403"/>
      <c r="T478" s="525" t="s">
        <v>1505</v>
      </c>
      <c r="U478" s="525" t="s">
        <v>2545</v>
      </c>
      <c r="AA478" s="28"/>
      <c r="AB478" s="28"/>
      <c r="AC478" s="997"/>
      <c r="AD478" s="536"/>
    </row>
    <row r="479" spans="6:30" ht="10.5" customHeight="1">
      <c r="F479" s="347"/>
      <c r="G479" s="324"/>
      <c r="H479" s="324"/>
      <c r="I479" s="324"/>
      <c r="J479" s="324"/>
      <c r="K479" s="324"/>
      <c r="L479" s="324"/>
      <c r="M479" s="324"/>
      <c r="N479" s="324"/>
      <c r="O479" s="324"/>
      <c r="P479" s="586" t="s">
        <v>1523</v>
      </c>
      <c r="Q479" s="301"/>
      <c r="R479" s="177"/>
      <c r="S479" s="403"/>
      <c r="T479" s="525" t="s">
        <v>1507</v>
      </c>
      <c r="U479" s="525" t="s">
        <v>2192</v>
      </c>
      <c r="AA479" s="28"/>
      <c r="AB479" s="28"/>
      <c r="AC479" s="997"/>
      <c r="AD479" s="536"/>
    </row>
    <row r="480" spans="6:30" ht="10.5" customHeight="1">
      <c r="F480" s="347"/>
      <c r="G480" s="324"/>
      <c r="H480" s="324"/>
      <c r="I480" s="324"/>
      <c r="J480" s="324"/>
      <c r="K480" s="324"/>
      <c r="L480" s="324"/>
      <c r="M480" s="324"/>
      <c r="N480" s="324"/>
      <c r="O480" s="324"/>
      <c r="P480" s="586" t="s">
        <v>1403</v>
      </c>
      <c r="Q480" s="301"/>
      <c r="R480" s="177"/>
      <c r="S480" s="403"/>
      <c r="T480" s="525" t="s">
        <v>2352</v>
      </c>
      <c r="U480" s="525" t="s">
        <v>2607</v>
      </c>
      <c r="AA480" s="28"/>
      <c r="AB480" s="28"/>
      <c r="AC480" s="997"/>
      <c r="AD480" s="536"/>
    </row>
    <row r="481" spans="6:30" ht="10.5" customHeight="1">
      <c r="F481" s="347"/>
      <c r="G481" s="324"/>
      <c r="H481" s="324"/>
      <c r="I481" s="324"/>
      <c r="J481" s="324"/>
      <c r="K481" s="324"/>
      <c r="L481" s="324"/>
      <c r="M481" s="324"/>
      <c r="N481" s="324"/>
      <c r="O481" s="324"/>
      <c r="P481" s="586" t="s">
        <v>1405</v>
      </c>
      <c r="Q481" s="301"/>
      <c r="R481" s="177"/>
      <c r="S481" s="403"/>
      <c r="T481" s="525" t="s">
        <v>2354</v>
      </c>
      <c r="U481" s="525" t="s">
        <v>122</v>
      </c>
      <c r="AA481" s="28"/>
      <c r="AB481" s="28"/>
      <c r="AC481" s="997"/>
      <c r="AD481" s="536"/>
    </row>
    <row r="482" spans="6:30" ht="10.5" customHeight="1">
      <c r="F482" s="347"/>
      <c r="G482" s="324"/>
      <c r="H482" s="324"/>
      <c r="I482" s="324"/>
      <c r="J482" s="324"/>
      <c r="K482" s="324"/>
      <c r="L482" s="324"/>
      <c r="M482" s="324"/>
      <c r="N482" s="324"/>
      <c r="O482" s="324"/>
      <c r="P482" s="586" t="s">
        <v>1407</v>
      </c>
      <c r="Q482" s="301"/>
      <c r="R482" s="177"/>
      <c r="S482" s="403"/>
      <c r="T482" s="292" t="s">
        <v>1291</v>
      </c>
      <c r="U482" s="292" t="s">
        <v>961</v>
      </c>
      <c r="AA482" s="28"/>
      <c r="AB482" s="28"/>
      <c r="AC482" s="997"/>
      <c r="AD482" s="536"/>
    </row>
    <row r="483" spans="6:30" ht="10.5" customHeight="1">
      <c r="F483" s="347"/>
      <c r="G483" s="324"/>
      <c r="H483" s="324"/>
      <c r="I483" s="324"/>
      <c r="J483" s="324"/>
      <c r="K483" s="324"/>
      <c r="L483" s="324"/>
      <c r="M483" s="324"/>
      <c r="N483" s="324"/>
      <c r="O483" s="324"/>
      <c r="P483" s="586" t="s">
        <v>1408</v>
      </c>
      <c r="Q483" s="301"/>
      <c r="R483" s="177"/>
      <c r="S483" s="403"/>
      <c r="T483" s="525" t="s">
        <v>1065</v>
      </c>
      <c r="U483" s="525" t="s">
        <v>2020</v>
      </c>
      <c r="AA483" s="28"/>
      <c r="AB483" s="28"/>
      <c r="AC483" s="536"/>
      <c r="AD483" s="536"/>
    </row>
    <row r="484" spans="6:30" ht="10.5" customHeight="1">
      <c r="F484" s="347"/>
      <c r="G484" s="324"/>
      <c r="H484" s="324"/>
      <c r="I484" s="324"/>
      <c r="J484" s="324"/>
      <c r="K484" s="324"/>
      <c r="L484" s="324"/>
      <c r="M484" s="324"/>
      <c r="N484" s="324"/>
      <c r="O484" s="324"/>
      <c r="P484" s="586" t="s">
        <v>1410</v>
      </c>
      <c r="Q484" s="301"/>
      <c r="R484" s="177"/>
      <c r="S484" s="403"/>
      <c r="T484" s="525" t="s">
        <v>1293</v>
      </c>
      <c r="U484" s="525" t="s">
        <v>1468</v>
      </c>
      <c r="AA484" s="28"/>
      <c r="AB484" s="28"/>
      <c r="AC484" s="997"/>
      <c r="AD484" s="536"/>
    </row>
    <row r="485" spans="6:30" ht="10.5" customHeight="1">
      <c r="F485" s="347"/>
      <c r="G485" s="324"/>
      <c r="H485" s="324"/>
      <c r="I485" s="324"/>
      <c r="J485" s="324"/>
      <c r="K485" s="324"/>
      <c r="L485" s="324"/>
      <c r="M485" s="324"/>
      <c r="N485" s="324"/>
      <c r="O485" s="324"/>
      <c r="P485" s="586" t="s">
        <v>1412</v>
      </c>
      <c r="Q485" s="301"/>
      <c r="R485" s="177"/>
      <c r="S485" s="403"/>
      <c r="T485" s="525" t="s">
        <v>834</v>
      </c>
      <c r="U485" s="525" t="s">
        <v>2022</v>
      </c>
      <c r="AA485" s="28"/>
      <c r="AB485" s="28"/>
      <c r="AC485" s="997"/>
      <c r="AD485" s="536"/>
    </row>
    <row r="486" spans="6:30" ht="10.5" customHeight="1">
      <c r="F486" s="347"/>
      <c r="G486" s="324"/>
      <c r="H486" s="324"/>
      <c r="I486" s="324"/>
      <c r="J486" s="324"/>
      <c r="K486" s="324"/>
      <c r="L486" s="324"/>
      <c r="M486" s="324"/>
      <c r="N486" s="324"/>
      <c r="O486" s="324"/>
      <c r="P486" s="586" t="s">
        <v>1580</v>
      </c>
      <c r="Q486" s="301"/>
      <c r="R486" s="177"/>
      <c r="S486" s="403"/>
      <c r="T486" s="525" t="s">
        <v>835</v>
      </c>
      <c r="U486" s="525" t="s">
        <v>881</v>
      </c>
      <c r="AA486" s="28"/>
      <c r="AB486" s="28"/>
      <c r="AC486" s="997"/>
      <c r="AD486" s="536"/>
    </row>
    <row r="487" spans="6:30" ht="10.5" customHeight="1">
      <c r="F487" s="347"/>
      <c r="G487" s="324"/>
      <c r="H487" s="324"/>
      <c r="I487" s="324"/>
      <c r="J487" s="324"/>
      <c r="K487" s="324"/>
      <c r="L487" s="324"/>
      <c r="M487" s="324"/>
      <c r="N487" s="324"/>
      <c r="O487" s="324"/>
      <c r="P487" s="586" t="s">
        <v>1581</v>
      </c>
      <c r="Q487" s="301"/>
      <c r="R487" s="177"/>
      <c r="S487" s="403"/>
      <c r="T487" s="525" t="s">
        <v>828</v>
      </c>
      <c r="U487" s="525" t="s">
        <v>633</v>
      </c>
      <c r="AA487" s="28"/>
      <c r="AB487" s="28"/>
      <c r="AC487" s="997"/>
      <c r="AD487" s="536"/>
    </row>
    <row r="488" spans="6:30" ht="10.5" customHeight="1">
      <c r="F488" s="347"/>
      <c r="G488" s="324"/>
      <c r="H488" s="324"/>
      <c r="I488" s="324"/>
      <c r="J488" s="324"/>
      <c r="K488" s="324"/>
      <c r="L488" s="324"/>
      <c r="M488" s="324"/>
      <c r="N488" s="324"/>
      <c r="O488" s="324"/>
      <c r="P488" s="586" t="s">
        <v>1582</v>
      </c>
      <c r="Q488" s="301"/>
      <c r="R488" s="177"/>
      <c r="S488" s="403"/>
      <c r="T488" s="525" t="s">
        <v>831</v>
      </c>
      <c r="U488" s="525" t="s">
        <v>321</v>
      </c>
      <c r="AA488" s="28"/>
      <c r="AB488" s="28"/>
      <c r="AC488" s="997"/>
      <c r="AD488" s="536"/>
    </row>
    <row r="489" spans="6:30" ht="10.5" customHeight="1">
      <c r="F489" s="347"/>
      <c r="G489" s="324"/>
      <c r="H489" s="324"/>
      <c r="I489" s="324"/>
      <c r="J489" s="324"/>
      <c r="K489" s="324"/>
      <c r="L489" s="324"/>
      <c r="M489" s="324"/>
      <c r="N489" s="324"/>
      <c r="O489" s="324"/>
      <c r="P489" s="586" t="s">
        <v>1583</v>
      </c>
      <c r="Q489" s="301"/>
      <c r="R489" s="177"/>
      <c r="S489" s="403"/>
      <c r="T489" s="525" t="s">
        <v>121</v>
      </c>
      <c r="U489" s="525" t="s">
        <v>2023</v>
      </c>
      <c r="AA489" s="28"/>
      <c r="AB489" s="28"/>
      <c r="AC489" s="997"/>
      <c r="AD489" s="536"/>
    </row>
    <row r="490" spans="6:30" ht="10.5" customHeight="1">
      <c r="F490" s="347"/>
      <c r="G490" s="324"/>
      <c r="H490" s="324"/>
      <c r="I490" s="324"/>
      <c r="J490" s="324"/>
      <c r="K490" s="324"/>
      <c r="L490" s="324"/>
      <c r="M490" s="324"/>
      <c r="N490" s="324"/>
      <c r="O490" s="324"/>
      <c r="P490" s="586" t="s">
        <v>1585</v>
      </c>
      <c r="Q490" s="301"/>
      <c r="R490" s="177"/>
      <c r="S490" s="403"/>
      <c r="T490" s="525" t="s">
        <v>252</v>
      </c>
      <c r="U490" s="525" t="s">
        <v>1892</v>
      </c>
      <c r="AA490" s="28"/>
      <c r="AB490" s="28"/>
      <c r="AC490" s="997"/>
      <c r="AD490" s="536"/>
    </row>
    <row r="491" spans="6:30" ht="10.5" customHeight="1">
      <c r="F491" s="347"/>
      <c r="G491" s="324"/>
      <c r="H491" s="324"/>
      <c r="I491" s="324"/>
      <c r="J491" s="324"/>
      <c r="K491" s="324"/>
      <c r="L491" s="324"/>
      <c r="M491" s="324"/>
      <c r="N491" s="324"/>
      <c r="O491" s="324"/>
      <c r="P491" s="586" t="s">
        <v>1587</v>
      </c>
      <c r="Q491" s="301"/>
      <c r="R491" s="177"/>
      <c r="S491" s="403"/>
      <c r="T491" s="292" t="s">
        <v>1517</v>
      </c>
      <c r="U491" s="292" t="s">
        <v>2022</v>
      </c>
      <c r="AA491" s="28"/>
      <c r="AB491" s="28"/>
      <c r="AC491" s="997"/>
      <c r="AD491" s="536"/>
    </row>
    <row r="492" spans="6:30" ht="10.5" customHeight="1">
      <c r="F492" s="347"/>
      <c r="G492" s="324"/>
      <c r="H492" s="324"/>
      <c r="I492" s="324"/>
      <c r="J492" s="324"/>
      <c r="K492" s="324"/>
      <c r="L492" s="324"/>
      <c r="M492" s="324"/>
      <c r="N492" s="324"/>
      <c r="O492" s="324"/>
      <c r="P492" s="586" t="s">
        <v>1588</v>
      </c>
      <c r="Q492" s="301"/>
      <c r="R492" s="177"/>
      <c r="S492" s="403"/>
      <c r="T492" s="525" t="s">
        <v>1520</v>
      </c>
      <c r="U492" s="525" t="s">
        <v>330</v>
      </c>
      <c r="AA492" s="28"/>
      <c r="AB492" s="28"/>
      <c r="AC492" s="536"/>
      <c r="AD492" s="536"/>
    </row>
    <row r="493" spans="6:30" ht="10.5" customHeight="1">
      <c r="F493" s="347"/>
      <c r="G493" s="324"/>
      <c r="H493" s="324"/>
      <c r="I493" s="324"/>
      <c r="J493" s="324"/>
      <c r="K493" s="324"/>
      <c r="L493" s="324"/>
      <c r="M493" s="324"/>
      <c r="N493" s="324"/>
      <c r="O493" s="324"/>
      <c r="P493" s="586" t="s">
        <v>1590</v>
      </c>
      <c r="Q493" s="301"/>
      <c r="R493" s="177"/>
      <c r="S493" s="403"/>
      <c r="T493" s="525" t="s">
        <v>1522</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1470</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1404</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1406</v>
      </c>
      <c r="U496" s="525" t="s">
        <v>879</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2190</v>
      </c>
      <c r="AA497" s="28"/>
      <c r="AB497" s="28"/>
      <c r="AC497" s="997"/>
      <c r="AD497" s="536"/>
    </row>
    <row r="498" spans="6:30" ht="10.5" customHeight="1">
      <c r="F498" s="347"/>
      <c r="G498" s="324"/>
      <c r="H498" s="324"/>
      <c r="I498" s="324"/>
      <c r="J498" s="324"/>
      <c r="K498" s="324"/>
      <c r="L498" s="324"/>
      <c r="M498" s="324"/>
      <c r="N498" s="324"/>
      <c r="O498" s="324"/>
      <c r="P498" s="586" t="s">
        <v>1094</v>
      </c>
      <c r="Q498" s="301"/>
      <c r="R498" s="177"/>
      <c r="S498" s="403"/>
      <c r="T498" s="525" t="s">
        <v>1409</v>
      </c>
      <c r="U498" s="525" t="s">
        <v>1892</v>
      </c>
      <c r="AA498" s="28"/>
      <c r="AB498" s="28"/>
      <c r="AC498" s="997"/>
      <c r="AD498" s="536"/>
    </row>
    <row r="499" spans="6:30" ht="10.5" customHeight="1">
      <c r="F499" s="347"/>
      <c r="G499" s="324"/>
      <c r="H499" s="324"/>
      <c r="I499" s="324"/>
      <c r="J499" s="324"/>
      <c r="K499" s="324"/>
      <c r="L499" s="324"/>
      <c r="M499" s="324"/>
      <c r="N499" s="324"/>
      <c r="O499" s="324"/>
      <c r="P499" s="586" t="s">
        <v>1096</v>
      </c>
      <c r="Q499" s="301"/>
      <c r="R499" s="177"/>
      <c r="S499" s="403"/>
      <c r="T499" s="525" t="s">
        <v>1411</v>
      </c>
      <c r="U499" s="525" t="s">
        <v>163</v>
      </c>
      <c r="AA499" s="28"/>
      <c r="AB499" s="28"/>
      <c r="AC499" s="997"/>
      <c r="AD499" s="536"/>
    </row>
    <row r="500" spans="6:30" ht="10.5" customHeight="1">
      <c r="F500" s="347"/>
      <c r="G500" s="324"/>
      <c r="H500" s="324"/>
      <c r="I500" s="324"/>
      <c r="J500" s="324"/>
      <c r="K500" s="324"/>
      <c r="L500" s="324"/>
      <c r="M500" s="324"/>
      <c r="N500" s="324"/>
      <c r="O500" s="324"/>
      <c r="P500" s="586" t="s">
        <v>1098</v>
      </c>
      <c r="Q500" s="301"/>
      <c r="R500" s="177"/>
      <c r="S500" s="403"/>
      <c r="T500" s="525" t="s">
        <v>2507</v>
      </c>
      <c r="U500" s="525" t="s">
        <v>1923</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1066</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1331</v>
      </c>
      <c r="U502" s="525" t="s">
        <v>1330</v>
      </c>
      <c r="AA502" s="28"/>
      <c r="AB502" s="28"/>
      <c r="AC502" s="997"/>
      <c r="AD502" s="536"/>
    </row>
    <row r="503" spans="6:30" ht="10.5" customHeight="1">
      <c r="F503" s="347"/>
      <c r="G503" s="324"/>
      <c r="H503" s="324"/>
      <c r="I503" s="324"/>
      <c r="J503" s="324"/>
      <c r="K503" s="324"/>
      <c r="L503" s="324"/>
      <c r="M503" s="324"/>
      <c r="N503" s="324"/>
      <c r="O503" s="324"/>
      <c r="P503" s="586" t="s">
        <v>1639</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2339</v>
      </c>
      <c r="Q504" s="301"/>
      <c r="R504" s="177"/>
      <c r="S504" s="403"/>
      <c r="T504" s="525" t="s">
        <v>1584</v>
      </c>
      <c r="U504" s="525" t="s">
        <v>2198</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1586</v>
      </c>
      <c r="U505" s="525" t="s">
        <v>1892</v>
      </c>
      <c r="AA505" s="28"/>
      <c r="AB505" s="28"/>
      <c r="AC505" s="997"/>
      <c r="AD505" s="536"/>
    </row>
    <row r="506" spans="6:30" ht="10.5" customHeight="1">
      <c r="F506" s="347"/>
      <c r="G506" s="324"/>
      <c r="H506" s="324"/>
      <c r="I506" s="324"/>
      <c r="J506" s="324"/>
      <c r="K506" s="324"/>
      <c r="L506" s="324"/>
      <c r="M506" s="324"/>
      <c r="N506" s="324"/>
      <c r="O506" s="324"/>
      <c r="P506" s="586" t="s">
        <v>1312</v>
      </c>
      <c r="Q506" s="301"/>
      <c r="R506" s="177"/>
      <c r="S506" s="403"/>
      <c r="T506" s="525" t="s">
        <v>1589</v>
      </c>
      <c r="U506" s="525" t="s">
        <v>2605</v>
      </c>
      <c r="AA506" s="28"/>
      <c r="AB506" s="28"/>
      <c r="AC506" s="997"/>
      <c r="AD506" s="536"/>
    </row>
    <row r="507" spans="6:30" ht="10.5" customHeight="1">
      <c r="F507" s="347"/>
      <c r="G507" s="324"/>
      <c r="H507" s="324"/>
      <c r="I507" s="324"/>
      <c r="J507" s="324"/>
      <c r="K507" s="324"/>
      <c r="L507" s="324"/>
      <c r="M507" s="324"/>
      <c r="N507" s="324"/>
      <c r="O507" s="324"/>
      <c r="P507" s="586" t="s">
        <v>652</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692</v>
      </c>
      <c r="Q508" s="301"/>
      <c r="R508" s="177"/>
      <c r="S508" s="403"/>
      <c r="T508" s="588" t="s">
        <v>381</v>
      </c>
      <c r="U508" s="525" t="s">
        <v>1331</v>
      </c>
      <c r="AA508" s="28"/>
      <c r="AB508" s="28"/>
      <c r="AC508" s="997"/>
      <c r="AD508" s="536"/>
    </row>
    <row r="509" spans="6:30" ht="10.5" customHeight="1">
      <c r="F509" s="347"/>
      <c r="G509" s="324"/>
      <c r="H509" s="324"/>
      <c r="I509" s="324"/>
      <c r="J509" s="324"/>
      <c r="K509" s="324"/>
      <c r="L509" s="324"/>
      <c r="M509" s="324"/>
      <c r="N509" s="324"/>
      <c r="O509" s="324"/>
      <c r="P509" s="586" t="s">
        <v>693</v>
      </c>
      <c r="Q509" s="301"/>
      <c r="R509" s="177"/>
      <c r="S509" s="403"/>
      <c r="T509" s="588" t="s">
        <v>249</v>
      </c>
      <c r="U509" s="525" t="s">
        <v>2188</v>
      </c>
      <c r="AA509" s="28"/>
      <c r="AB509" s="28"/>
      <c r="AC509" s="998"/>
      <c r="AD509" s="536"/>
    </row>
    <row r="510" spans="6:30" ht="10.5" customHeight="1">
      <c r="F510" s="347"/>
      <c r="G510" s="324"/>
      <c r="H510" s="324"/>
      <c r="I510" s="324"/>
      <c r="J510" s="324"/>
      <c r="K510" s="324"/>
      <c r="L510" s="324"/>
      <c r="M510" s="324"/>
      <c r="N510" s="324"/>
      <c r="O510" s="324"/>
      <c r="P510" s="586" t="s">
        <v>526</v>
      </c>
      <c r="Q510" s="301"/>
      <c r="R510" s="177"/>
      <c r="S510" s="403"/>
      <c r="T510" s="525" t="s">
        <v>1618</v>
      </c>
      <c r="U510" s="525" t="s">
        <v>2544</v>
      </c>
      <c r="AA510" s="28"/>
      <c r="AB510" s="28"/>
      <c r="AC510" s="998"/>
      <c r="AD510" s="536"/>
    </row>
    <row r="511" spans="6:30" ht="10.5" customHeight="1">
      <c r="F511" s="347"/>
      <c r="G511" s="324"/>
      <c r="H511" s="324"/>
      <c r="I511" s="324"/>
      <c r="J511" s="324"/>
      <c r="K511" s="324"/>
      <c r="L511" s="324"/>
      <c r="M511" s="324"/>
      <c r="N511" s="324"/>
      <c r="O511" s="324"/>
      <c r="P511" s="586" t="s">
        <v>528</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530</v>
      </c>
      <c r="Q512" s="301"/>
      <c r="R512" s="177"/>
      <c r="S512" s="403"/>
      <c r="T512" s="525" t="s">
        <v>1095</v>
      </c>
      <c r="U512" s="525" t="s">
        <v>2607</v>
      </c>
      <c r="AA512" s="28"/>
      <c r="AB512" s="28"/>
      <c r="AC512" s="997"/>
      <c r="AD512" s="536"/>
    </row>
    <row r="513" spans="6:30" ht="10.5" customHeight="1">
      <c r="F513" s="347"/>
      <c r="G513" s="324"/>
      <c r="H513" s="324"/>
      <c r="I513" s="324"/>
      <c r="J513" s="324"/>
      <c r="K513" s="324"/>
      <c r="L513" s="324"/>
      <c r="M513" s="324"/>
      <c r="N513" s="324"/>
      <c r="O513" s="324"/>
      <c r="P513" s="586" t="s">
        <v>532</v>
      </c>
      <c r="Q513" s="301"/>
      <c r="R513" s="177"/>
      <c r="S513" s="403"/>
      <c r="T513" s="525" t="s">
        <v>1097</v>
      </c>
      <c r="U513" s="525" t="s">
        <v>1321</v>
      </c>
      <c r="AA513" s="28"/>
      <c r="AB513" s="28"/>
      <c r="AC513" s="997"/>
      <c r="AD513" s="536"/>
    </row>
    <row r="514" spans="6:30" ht="10.5" customHeight="1">
      <c r="F514" s="347"/>
      <c r="G514" s="324"/>
      <c r="H514" s="324"/>
      <c r="I514" s="324"/>
      <c r="J514" s="324"/>
      <c r="K514" s="324"/>
      <c r="L514" s="324"/>
      <c r="M514" s="324"/>
      <c r="N514" s="324"/>
      <c r="O514" s="324"/>
      <c r="P514" s="586" t="s">
        <v>545</v>
      </c>
      <c r="Q514" s="301"/>
      <c r="R514" s="177"/>
      <c r="S514" s="403"/>
      <c r="T514" s="292" t="s">
        <v>1099</v>
      </c>
      <c r="U514" s="292" t="s">
        <v>660</v>
      </c>
      <c r="AA514" s="28"/>
      <c r="AB514" s="28"/>
      <c r="AC514" s="997"/>
      <c r="AD514" s="536"/>
    </row>
    <row r="515" spans="6:30" ht="10.5" customHeight="1">
      <c r="F515" s="347"/>
      <c r="G515" s="324"/>
      <c r="H515" s="324"/>
      <c r="I515" s="324"/>
      <c r="J515" s="324"/>
      <c r="K515" s="324"/>
      <c r="L515" s="324"/>
      <c r="M515" s="324"/>
      <c r="N515" s="324"/>
      <c r="O515" s="324"/>
      <c r="P515" s="586" t="s">
        <v>547</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721</v>
      </c>
      <c r="Q516" s="301"/>
      <c r="R516" s="177"/>
      <c r="S516" s="403"/>
      <c r="T516" s="525" t="s">
        <v>262</v>
      </c>
      <c r="U516" s="525" t="s">
        <v>2414</v>
      </c>
      <c r="AA516" s="28"/>
      <c r="AB516" s="28"/>
      <c r="AC516" s="997"/>
      <c r="AD516" s="536"/>
    </row>
    <row r="517" spans="6:30" ht="10.5" customHeight="1">
      <c r="F517" s="347"/>
      <c r="G517" s="324"/>
      <c r="H517" s="324"/>
      <c r="I517" s="324"/>
      <c r="J517" s="324"/>
      <c r="K517" s="324"/>
      <c r="L517" s="324"/>
      <c r="M517" s="324"/>
      <c r="N517" s="324"/>
      <c r="O517" s="324"/>
      <c r="P517" s="586" t="s">
        <v>591</v>
      </c>
      <c r="Q517" s="301"/>
      <c r="R517" s="177"/>
      <c r="S517" s="403"/>
      <c r="T517" s="292" t="s">
        <v>1640</v>
      </c>
      <c r="U517" s="292" t="s">
        <v>879</v>
      </c>
      <c r="AA517" s="28"/>
      <c r="AB517" s="28"/>
      <c r="AC517" s="997"/>
      <c r="AD517" s="536"/>
    </row>
    <row r="518" spans="6:30" ht="10.5" customHeight="1">
      <c r="F518" s="347"/>
      <c r="G518" s="324"/>
      <c r="H518" s="324"/>
      <c r="I518" s="324"/>
      <c r="J518" s="324"/>
      <c r="K518" s="324"/>
      <c r="L518" s="324"/>
      <c r="M518" s="324"/>
      <c r="N518" s="324"/>
      <c r="O518" s="324"/>
      <c r="P518" s="586" t="s">
        <v>592</v>
      </c>
      <c r="Q518" s="301"/>
      <c r="R518" s="177"/>
      <c r="S518" s="403"/>
      <c r="T518" s="525" t="s">
        <v>2340</v>
      </c>
      <c r="U518" s="525" t="s">
        <v>1105</v>
      </c>
      <c r="AA518" s="28"/>
      <c r="AB518" s="28"/>
      <c r="AC518" s="536"/>
      <c r="AD518" s="536"/>
    </row>
    <row r="519" spans="6:30" ht="10.5" customHeight="1">
      <c r="F519" s="347"/>
      <c r="G519" s="324"/>
      <c r="H519" s="324"/>
      <c r="I519" s="324"/>
      <c r="J519" s="324"/>
      <c r="K519" s="324"/>
      <c r="L519" s="324"/>
      <c r="M519" s="324"/>
      <c r="N519" s="324"/>
      <c r="O519" s="324"/>
      <c r="P519" s="586" t="s">
        <v>2092</v>
      </c>
      <c r="Q519" s="301"/>
      <c r="R519" s="177"/>
      <c r="S519" s="403"/>
      <c r="T519" s="525" t="s">
        <v>486</v>
      </c>
      <c r="U519" s="525" t="s">
        <v>1678</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2198</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691</v>
      </c>
      <c r="U521" s="525" t="s">
        <v>163</v>
      </c>
      <c r="AA521" s="28"/>
      <c r="AB521" s="28"/>
      <c r="AC521" s="997"/>
      <c r="AD521" s="536"/>
    </row>
    <row r="522" spans="6:30" ht="10.5" customHeight="1">
      <c r="F522" s="347"/>
      <c r="G522" s="324"/>
      <c r="H522" s="324"/>
      <c r="I522" s="324"/>
      <c r="J522" s="324"/>
      <c r="K522" s="324"/>
      <c r="L522" s="324"/>
      <c r="M522" s="324"/>
      <c r="N522" s="324"/>
      <c r="O522" s="324"/>
      <c r="P522" s="586" t="s">
        <v>1275</v>
      </c>
      <c r="Q522" s="301"/>
      <c r="R522" s="177"/>
      <c r="S522" s="403"/>
      <c r="T522" s="525" t="s">
        <v>525</v>
      </c>
      <c r="U522" s="525" t="s">
        <v>738</v>
      </c>
      <c r="AA522" s="28"/>
      <c r="AB522" s="28"/>
      <c r="AC522" s="997"/>
      <c r="AD522" s="536"/>
    </row>
    <row r="523" spans="6:30" ht="10.5" customHeight="1">
      <c r="F523" s="347"/>
      <c r="G523" s="324"/>
      <c r="H523" s="324"/>
      <c r="I523" s="324"/>
      <c r="J523" s="324"/>
      <c r="K523" s="324"/>
      <c r="L523" s="324"/>
      <c r="M523" s="324"/>
      <c r="N523" s="324"/>
      <c r="O523" s="324"/>
      <c r="P523" s="586" t="s">
        <v>1002</v>
      </c>
      <c r="Q523" s="301"/>
      <c r="R523" s="177"/>
      <c r="S523" s="403"/>
      <c r="T523" s="525" t="s">
        <v>527</v>
      </c>
      <c r="U523" s="525" t="s">
        <v>1340</v>
      </c>
      <c r="AA523" s="28"/>
      <c r="AB523" s="28"/>
      <c r="AC523" s="997"/>
      <c r="AD523" s="536"/>
    </row>
    <row r="524" spans="6:30" ht="10.5" customHeight="1">
      <c r="F524" s="347"/>
      <c r="G524" s="324"/>
      <c r="H524" s="324"/>
      <c r="I524" s="324"/>
      <c r="J524" s="324"/>
      <c r="K524" s="324"/>
      <c r="L524" s="324"/>
      <c r="M524" s="324"/>
      <c r="N524" s="324"/>
      <c r="O524" s="324"/>
      <c r="P524" s="586" t="s">
        <v>1004</v>
      </c>
      <c r="Q524" s="301"/>
      <c r="R524" s="177"/>
      <c r="S524" s="403"/>
      <c r="T524" s="525" t="s">
        <v>529</v>
      </c>
      <c r="U524" s="525" t="s">
        <v>1467</v>
      </c>
      <c r="AA524" s="28"/>
      <c r="AB524" s="28"/>
      <c r="AC524" s="997"/>
      <c r="AD524" s="536"/>
    </row>
    <row r="525" spans="6:30" ht="10.5" customHeight="1">
      <c r="F525" s="347"/>
      <c r="G525" s="324"/>
      <c r="H525" s="324"/>
      <c r="I525" s="324"/>
      <c r="J525" s="324"/>
      <c r="K525" s="324"/>
      <c r="L525" s="324"/>
      <c r="M525" s="324"/>
      <c r="N525" s="324"/>
      <c r="O525" s="324"/>
      <c r="P525" s="586" t="s">
        <v>1005</v>
      </c>
      <c r="Q525" s="301"/>
      <c r="R525" s="177"/>
      <c r="S525" s="403"/>
      <c r="T525" s="525" t="s">
        <v>531</v>
      </c>
      <c r="U525" s="525" t="s">
        <v>879</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533</v>
      </c>
      <c r="U526" s="525" t="s">
        <v>1795</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546</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548</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698</v>
      </c>
      <c r="U529" s="292" t="s">
        <v>1217</v>
      </c>
      <c r="AA529" s="28"/>
      <c r="AB529" s="28"/>
      <c r="AC529" s="997"/>
      <c r="AD529" s="536"/>
    </row>
    <row r="530" spans="6:30" ht="10.5" customHeight="1">
      <c r="F530" s="347"/>
      <c r="G530" s="324"/>
      <c r="H530" s="324"/>
      <c r="I530" s="324"/>
      <c r="J530" s="324"/>
      <c r="K530" s="324"/>
      <c r="L530" s="324"/>
      <c r="M530" s="324"/>
      <c r="N530" s="324"/>
      <c r="O530" s="324"/>
      <c r="P530" s="586" t="s">
        <v>2109</v>
      </c>
      <c r="Q530" s="301"/>
      <c r="R530" s="177"/>
      <c r="S530" s="403"/>
      <c r="T530" s="525" t="s">
        <v>836</v>
      </c>
      <c r="U530" s="525" t="s">
        <v>660</v>
      </c>
      <c r="AA530" s="28"/>
      <c r="AB530" s="28"/>
      <c r="AC530" s="536"/>
      <c r="AD530" s="536"/>
    </row>
    <row r="531" spans="6:30" ht="10.5" customHeight="1">
      <c r="F531" s="347"/>
      <c r="G531" s="324"/>
      <c r="H531" s="324"/>
      <c r="I531" s="324"/>
      <c r="J531" s="324"/>
      <c r="K531" s="324"/>
      <c r="L531" s="324"/>
      <c r="M531" s="324"/>
      <c r="N531" s="324"/>
      <c r="O531" s="324"/>
      <c r="P531" s="586" t="s">
        <v>2111</v>
      </c>
      <c r="Q531" s="301"/>
      <c r="R531" s="177"/>
      <c r="S531" s="403"/>
      <c r="T531" s="525" t="s">
        <v>1645</v>
      </c>
      <c r="U531" s="525" t="s">
        <v>669</v>
      </c>
      <c r="AA531" s="28"/>
      <c r="AB531" s="28"/>
      <c r="AC531" s="997"/>
      <c r="AD531" s="536"/>
    </row>
    <row r="532" spans="6:30" ht="10.5" customHeight="1">
      <c r="F532" s="347"/>
      <c r="G532" s="324"/>
      <c r="H532" s="324"/>
      <c r="I532" s="324"/>
      <c r="J532" s="324"/>
      <c r="K532" s="324"/>
      <c r="L532" s="324"/>
      <c r="M532" s="324"/>
      <c r="N532" s="324"/>
      <c r="O532" s="324"/>
      <c r="P532" s="586" t="s">
        <v>593</v>
      </c>
      <c r="Q532" s="301"/>
      <c r="R532" s="177"/>
      <c r="S532" s="403"/>
      <c r="T532" s="525" t="s">
        <v>2093</v>
      </c>
      <c r="U532" s="525" t="s">
        <v>1105</v>
      </c>
      <c r="AA532" s="28"/>
      <c r="AB532" s="28"/>
      <c r="AC532" s="997"/>
      <c r="AD532" s="536"/>
    </row>
    <row r="533" spans="6:30" ht="10.5" customHeight="1">
      <c r="F533" s="347"/>
      <c r="G533" s="324"/>
      <c r="H533" s="324"/>
      <c r="I533" s="324"/>
      <c r="J533" s="324"/>
      <c r="K533" s="324"/>
      <c r="L533" s="324"/>
      <c r="M533" s="324"/>
      <c r="N533" s="324"/>
      <c r="O533" s="324"/>
      <c r="P533" s="586" t="s">
        <v>2357</v>
      </c>
      <c r="Q533" s="301"/>
      <c r="R533" s="177"/>
      <c r="S533" s="403"/>
      <c r="T533" s="525" t="s">
        <v>1647</v>
      </c>
      <c r="U533" s="525" t="s">
        <v>2023</v>
      </c>
      <c r="AA533" s="28"/>
      <c r="AB533" s="28"/>
      <c r="AC533" s="997"/>
      <c r="AD533" s="536"/>
    </row>
    <row r="534" spans="6:30" ht="10.5" customHeight="1">
      <c r="F534" s="347"/>
      <c r="G534" s="324"/>
      <c r="H534" s="324"/>
      <c r="I534" s="324"/>
      <c r="J534" s="324"/>
      <c r="K534" s="324"/>
      <c r="L534" s="324"/>
      <c r="M534" s="324"/>
      <c r="N534" s="324"/>
      <c r="O534" s="324"/>
      <c r="P534" s="586" t="s">
        <v>709</v>
      </c>
      <c r="Q534" s="301"/>
      <c r="R534" s="177"/>
      <c r="S534" s="403"/>
      <c r="T534" s="525" t="s">
        <v>470</v>
      </c>
      <c r="U534" s="525" t="s">
        <v>1331</v>
      </c>
      <c r="AA534" s="28"/>
      <c r="AB534" s="28"/>
      <c r="AC534" s="997"/>
      <c r="AD534" s="536"/>
    </row>
    <row r="535" spans="6:30" ht="10.5" customHeight="1">
      <c r="F535" s="347"/>
      <c r="G535" s="324"/>
      <c r="H535" s="324"/>
      <c r="I535" s="324"/>
      <c r="J535" s="324"/>
      <c r="K535" s="324"/>
      <c r="L535" s="324"/>
      <c r="M535" s="324"/>
      <c r="N535" s="324"/>
      <c r="O535" s="324"/>
      <c r="P535" s="586" t="s">
        <v>711</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2299</v>
      </c>
      <c r="Q536" s="301"/>
      <c r="R536" s="177"/>
      <c r="S536" s="403"/>
      <c r="T536" s="525" t="s">
        <v>1276</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1003</v>
      </c>
      <c r="U537" s="525" t="s">
        <v>1464</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1068</v>
      </c>
      <c r="U538" s="525" t="s">
        <v>176</v>
      </c>
      <c r="AA538" s="28"/>
      <c r="AB538" s="28"/>
      <c r="AC538" s="997"/>
      <c r="AD538" s="536"/>
    </row>
    <row r="539" spans="6:30" ht="10.5" customHeight="1">
      <c r="F539" s="347"/>
      <c r="G539" s="324"/>
      <c r="H539" s="324"/>
      <c r="I539" s="324"/>
      <c r="J539" s="324"/>
      <c r="K539" s="324"/>
      <c r="L539" s="324"/>
      <c r="M539" s="324"/>
      <c r="N539" s="324"/>
      <c r="O539" s="324"/>
      <c r="P539" s="586" t="s">
        <v>2262</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2290</v>
      </c>
      <c r="Q540" s="301"/>
      <c r="R540" s="177"/>
      <c r="S540" s="403"/>
      <c r="T540" s="525" t="s">
        <v>2600</v>
      </c>
      <c r="U540" s="525" t="s">
        <v>1343</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660</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1335</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2110</v>
      </c>
      <c r="U544" s="292" t="s">
        <v>2504</v>
      </c>
      <c r="AA544" s="28"/>
      <c r="AB544" s="28"/>
      <c r="AC544" s="536"/>
      <c r="AD544" s="536"/>
    </row>
    <row r="545" spans="6:30" ht="10.5" customHeight="1">
      <c r="F545" s="347"/>
      <c r="G545" s="324"/>
      <c r="H545" s="324"/>
      <c r="I545" s="324"/>
      <c r="J545" s="324"/>
      <c r="K545" s="324"/>
      <c r="L545" s="324"/>
      <c r="M545" s="324"/>
      <c r="N545" s="324"/>
      <c r="O545" s="324"/>
      <c r="P545" s="586" t="s">
        <v>1594</v>
      </c>
      <c r="Q545" s="301"/>
      <c r="R545" s="177"/>
      <c r="S545" s="403"/>
      <c r="T545" s="525" t="s">
        <v>761</v>
      </c>
      <c r="U545" s="525" t="s">
        <v>123</v>
      </c>
      <c r="AA545" s="28"/>
      <c r="AB545" s="28"/>
      <c r="AC545" s="536"/>
      <c r="AD545" s="536"/>
    </row>
    <row r="546" spans="6:30" ht="10.5" customHeight="1">
      <c r="F546" s="347"/>
      <c r="G546" s="324"/>
      <c r="H546" s="324"/>
      <c r="I546" s="324"/>
      <c r="J546" s="324"/>
      <c r="K546" s="324"/>
      <c r="L546" s="324"/>
      <c r="M546" s="324"/>
      <c r="N546" s="324"/>
      <c r="O546" s="324"/>
      <c r="P546" s="586" t="s">
        <v>1596</v>
      </c>
      <c r="Q546" s="301"/>
      <c r="R546" s="177"/>
      <c r="S546" s="403"/>
      <c r="T546" s="525" t="s">
        <v>762</v>
      </c>
      <c r="U546" s="525" t="s">
        <v>185</v>
      </c>
      <c r="AA546" s="28"/>
      <c r="AB546" s="28"/>
      <c r="AC546" s="997"/>
      <c r="AD546" s="536"/>
    </row>
    <row r="547" spans="6:30" ht="10.5" customHeight="1">
      <c r="F547" s="347"/>
      <c r="G547" s="324"/>
      <c r="H547" s="324"/>
      <c r="I547" s="324"/>
      <c r="J547" s="324"/>
      <c r="K547" s="324"/>
      <c r="L547" s="324"/>
      <c r="M547" s="324"/>
      <c r="N547" s="324"/>
      <c r="O547" s="324"/>
      <c r="P547" s="586" t="s">
        <v>1598</v>
      </c>
      <c r="Q547" s="301"/>
      <c r="R547" s="177"/>
      <c r="S547" s="403"/>
      <c r="T547" s="525" t="s">
        <v>710</v>
      </c>
      <c r="U547" s="525" t="s">
        <v>740</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712</v>
      </c>
      <c r="U548" s="525" t="s">
        <v>1114</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2300</v>
      </c>
      <c r="U549" s="525" t="s">
        <v>1217</v>
      </c>
      <c r="AA549" s="28"/>
      <c r="AB549" s="28"/>
      <c r="AC549" s="997"/>
      <c r="AD549" s="536"/>
    </row>
    <row r="550" spans="6:30" ht="10.5" customHeight="1">
      <c r="F550" s="347"/>
      <c r="G550" s="324"/>
      <c r="H550" s="324"/>
      <c r="I550" s="324"/>
      <c r="J550" s="324"/>
      <c r="K550" s="324"/>
      <c r="L550" s="324"/>
      <c r="M550" s="324"/>
      <c r="N550" s="324"/>
      <c r="O550" s="324"/>
      <c r="P550" s="586" t="s">
        <v>1841</v>
      </c>
      <c r="Q550" s="301"/>
      <c r="R550" s="177"/>
      <c r="S550" s="403"/>
      <c r="T550" s="525" t="s">
        <v>2300</v>
      </c>
      <c r="U550" s="525" t="s">
        <v>1217</v>
      </c>
      <c r="AA550" s="28"/>
      <c r="AB550" s="28"/>
      <c r="AC550" s="997"/>
      <c r="AD550" s="536"/>
    </row>
    <row r="551" spans="6:30" ht="10.5" customHeight="1">
      <c r="F551" s="347"/>
      <c r="G551" s="324"/>
      <c r="H551" s="324"/>
      <c r="I551" s="324"/>
      <c r="J551" s="324"/>
      <c r="K551" s="324"/>
      <c r="L551" s="324"/>
      <c r="M551" s="324"/>
      <c r="N551" s="324"/>
      <c r="O551" s="324"/>
      <c r="P551" s="586" t="s">
        <v>1843</v>
      </c>
      <c r="Q551" s="301"/>
      <c r="R551" s="177"/>
      <c r="S551" s="403"/>
      <c r="T551" s="525" t="s">
        <v>45</v>
      </c>
      <c r="U551" s="525" t="s">
        <v>1334</v>
      </c>
      <c r="AA551" s="28"/>
      <c r="AB551" s="28"/>
      <c r="AC551" s="997"/>
      <c r="AD551" s="536"/>
    </row>
    <row r="552" spans="6:30" ht="10.5" customHeight="1">
      <c r="F552" s="347"/>
      <c r="G552" s="324"/>
      <c r="H552" s="324"/>
      <c r="I552" s="324"/>
      <c r="J552" s="324"/>
      <c r="K552" s="324"/>
      <c r="L552" s="324"/>
      <c r="M552" s="324"/>
      <c r="N552" s="324"/>
      <c r="O552" s="324"/>
      <c r="P552" s="586" t="s">
        <v>1845</v>
      </c>
      <c r="Q552" s="301"/>
      <c r="R552" s="177"/>
      <c r="S552" s="403"/>
      <c r="T552" s="525" t="s">
        <v>2263</v>
      </c>
      <c r="U552" s="525" t="s">
        <v>1328</v>
      </c>
      <c r="AA552" s="28"/>
      <c r="AB552" s="28"/>
      <c r="AC552" s="997"/>
      <c r="AD552" s="536"/>
    </row>
    <row r="553" spans="6:30" ht="10.5" customHeight="1">
      <c r="F553" s="347"/>
      <c r="G553" s="324"/>
      <c r="H553" s="324"/>
      <c r="I553" s="324"/>
      <c r="J553" s="324"/>
      <c r="K553" s="324"/>
      <c r="L553" s="324"/>
      <c r="M553" s="324"/>
      <c r="N553" s="324"/>
      <c r="O553" s="324"/>
      <c r="P553" s="586" t="s">
        <v>1846</v>
      </c>
      <c r="Q553" s="301"/>
      <c r="R553" s="177"/>
      <c r="S553" s="403"/>
      <c r="T553" s="525" t="s">
        <v>837</v>
      </c>
      <c r="U553" s="525" t="s">
        <v>176</v>
      </c>
      <c r="AA553" s="28"/>
      <c r="AB553" s="28"/>
      <c r="AC553" s="997"/>
      <c r="AD553" s="536"/>
    </row>
    <row r="554" spans="6:30" ht="10.5" customHeight="1">
      <c r="F554" s="347"/>
      <c r="G554" s="324"/>
      <c r="H554" s="324"/>
      <c r="I554" s="324"/>
      <c r="J554" s="324"/>
      <c r="K554" s="324"/>
      <c r="L554" s="324"/>
      <c r="M554" s="324"/>
      <c r="N554" s="324"/>
      <c r="O554" s="324"/>
      <c r="P554" s="586" t="s">
        <v>1848</v>
      </c>
      <c r="Q554" s="301"/>
      <c r="R554" s="177"/>
      <c r="S554" s="403"/>
      <c r="T554" s="525" t="s">
        <v>1039</v>
      </c>
      <c r="U554" s="525" t="s">
        <v>1102</v>
      </c>
      <c r="AA554" s="28"/>
      <c r="AB554" s="28"/>
      <c r="AC554" s="997"/>
      <c r="AD554" s="536"/>
    </row>
    <row r="555" spans="6:30" ht="10.5" customHeight="1">
      <c r="F555" s="347"/>
      <c r="G555" s="324"/>
      <c r="H555" s="324"/>
      <c r="I555" s="324"/>
      <c r="J555" s="324"/>
      <c r="K555" s="324"/>
      <c r="L555" s="324"/>
      <c r="M555" s="324"/>
      <c r="N555" s="324"/>
      <c r="O555" s="324"/>
      <c r="P555" s="586" t="s">
        <v>1850</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1852</v>
      </c>
      <c r="Q556" s="301"/>
      <c r="R556" s="177"/>
      <c r="S556" s="403"/>
      <c r="T556" s="525" t="s">
        <v>398</v>
      </c>
      <c r="U556" s="525" t="s">
        <v>2183</v>
      </c>
      <c r="AA556" s="28"/>
      <c r="AB556" s="28"/>
      <c r="AC556" s="997"/>
      <c r="AD556" s="536"/>
    </row>
    <row r="557" spans="6:30" ht="10.5" customHeight="1">
      <c r="F557" s="347"/>
      <c r="G557" s="324"/>
      <c r="H557" s="324"/>
      <c r="I557" s="324"/>
      <c r="J557" s="324"/>
      <c r="K557" s="324"/>
      <c r="L557" s="324"/>
      <c r="M557" s="324"/>
      <c r="N557" s="324"/>
      <c r="O557" s="324"/>
      <c r="P557" s="586" t="s">
        <v>1854</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1855</v>
      </c>
      <c r="Q558" s="301"/>
      <c r="R558" s="177"/>
      <c r="S558" s="403"/>
      <c r="T558" s="525" t="s">
        <v>2605</v>
      </c>
      <c r="U558" s="525" t="s">
        <v>1793</v>
      </c>
      <c r="AA558" s="28"/>
      <c r="AB558" s="28"/>
      <c r="AC558" s="997"/>
      <c r="AD558" s="536"/>
    </row>
    <row r="559" spans="6:30" ht="10.5" customHeight="1">
      <c r="F559" s="347"/>
      <c r="G559" s="324"/>
      <c r="H559" s="324"/>
      <c r="I559" s="324"/>
      <c r="J559" s="324"/>
      <c r="K559" s="324"/>
      <c r="L559" s="324"/>
      <c r="M559" s="324"/>
      <c r="N559" s="324"/>
      <c r="O559" s="324"/>
      <c r="P559" s="586" t="s">
        <v>1821</v>
      </c>
      <c r="Q559" s="301"/>
      <c r="R559" s="177"/>
      <c r="S559" s="403"/>
      <c r="T559" s="525" t="s">
        <v>1595</v>
      </c>
      <c r="U559" s="525" t="s">
        <v>2502</v>
      </c>
      <c r="AA559" s="28"/>
      <c r="AB559" s="28"/>
      <c r="AC559" s="997"/>
      <c r="AD559" s="536"/>
    </row>
    <row r="560" spans="6:30" ht="10.5" customHeight="1">
      <c r="F560" s="347"/>
      <c r="G560" s="324"/>
      <c r="H560" s="324"/>
      <c r="I560" s="324"/>
      <c r="J560" s="324"/>
      <c r="K560" s="324"/>
      <c r="L560" s="324"/>
      <c r="M560" s="324"/>
      <c r="N560" s="324"/>
      <c r="O560" s="324"/>
      <c r="P560" s="586" t="s">
        <v>1653</v>
      </c>
      <c r="Q560" s="301"/>
      <c r="R560" s="177"/>
      <c r="S560" s="403"/>
      <c r="T560" s="525" t="s">
        <v>1597</v>
      </c>
      <c r="U560" s="525" t="s">
        <v>325</v>
      </c>
      <c r="AA560" s="28"/>
      <c r="AB560" s="28"/>
      <c r="AC560" s="997"/>
      <c r="AD560" s="536"/>
    </row>
    <row r="561" spans="6:30" ht="10.5" customHeight="1">
      <c r="F561" s="347"/>
      <c r="G561" s="324"/>
      <c r="H561" s="324"/>
      <c r="I561" s="324"/>
      <c r="J561" s="324"/>
      <c r="K561" s="324"/>
      <c r="L561" s="324"/>
      <c r="M561" s="324"/>
      <c r="N561" s="324"/>
      <c r="O561" s="324"/>
      <c r="P561" s="586" t="s">
        <v>1654</v>
      </c>
      <c r="Q561" s="301"/>
      <c r="R561" s="177"/>
      <c r="S561" s="403"/>
      <c r="T561" s="525" t="s">
        <v>1449</v>
      </c>
      <c r="U561" s="525" t="s">
        <v>122</v>
      </c>
      <c r="AA561" s="28"/>
      <c r="AB561" s="28"/>
      <c r="AC561" s="997"/>
      <c r="AD561" s="536"/>
    </row>
    <row r="562" spans="6:30" ht="10.5" customHeight="1">
      <c r="F562" s="347"/>
      <c r="G562" s="324"/>
      <c r="H562" s="324"/>
      <c r="I562" s="324"/>
      <c r="J562" s="324"/>
      <c r="K562" s="324"/>
      <c r="L562" s="324"/>
      <c r="M562" s="324"/>
      <c r="N562" s="324"/>
      <c r="O562" s="324"/>
      <c r="P562" s="586" t="s">
        <v>1656</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2288</v>
      </c>
      <c r="Q563" s="301"/>
      <c r="R563" s="177"/>
      <c r="S563" s="403"/>
      <c r="T563" s="525" t="s">
        <v>1069</v>
      </c>
      <c r="U563" s="525" t="s">
        <v>633</v>
      </c>
      <c r="AA563" s="28"/>
      <c r="AB563" s="28"/>
      <c r="AC563" s="536"/>
      <c r="AD563" s="536"/>
    </row>
    <row r="564" spans="6:30" ht="10.5" customHeight="1">
      <c r="F564" s="347"/>
      <c r="G564" s="324"/>
      <c r="H564" s="324"/>
      <c r="I564" s="324"/>
      <c r="J564" s="324"/>
      <c r="K564" s="324"/>
      <c r="L564" s="324"/>
      <c r="M564" s="324"/>
      <c r="N564" s="324"/>
      <c r="O564" s="324"/>
      <c r="P564" s="586" t="s">
        <v>563</v>
      </c>
      <c r="Q564" s="301"/>
      <c r="R564" s="177"/>
      <c r="S564" s="403"/>
      <c r="T564" s="525" t="s">
        <v>1070</v>
      </c>
      <c r="U564" s="525" t="s">
        <v>633</v>
      </c>
      <c r="AA564" s="28"/>
      <c r="AB564" s="28"/>
      <c r="AC564" s="997"/>
      <c r="AD564" s="536"/>
    </row>
    <row r="565" spans="6:30" ht="10.5" customHeight="1">
      <c r="F565" s="347"/>
      <c r="G565" s="324"/>
      <c r="H565" s="324"/>
      <c r="I565" s="324"/>
      <c r="J565" s="324"/>
      <c r="K565" s="324"/>
      <c r="L565" s="324"/>
      <c r="M565" s="324"/>
      <c r="N565" s="324"/>
      <c r="O565" s="324"/>
      <c r="P565" s="586" t="s">
        <v>565</v>
      </c>
      <c r="Q565" s="301"/>
      <c r="R565" s="177"/>
      <c r="S565" s="403"/>
      <c r="T565" s="525" t="s">
        <v>1071</v>
      </c>
      <c r="U565" s="525" t="s">
        <v>633</v>
      </c>
      <c r="AA565" s="28"/>
      <c r="AB565" s="28"/>
      <c r="AC565" s="997"/>
      <c r="AD565" s="536"/>
    </row>
    <row r="566" spans="6:30" ht="10.5" customHeight="1">
      <c r="F566" s="347"/>
      <c r="G566" s="324"/>
      <c r="H566" s="324"/>
      <c r="I566" s="324"/>
      <c r="J566" s="324"/>
      <c r="K566" s="324"/>
      <c r="L566" s="324"/>
      <c r="M566" s="324"/>
      <c r="N566" s="324"/>
      <c r="O566" s="324"/>
      <c r="P566" s="586" t="s">
        <v>567</v>
      </c>
      <c r="Q566" s="301"/>
      <c r="R566" s="177"/>
      <c r="S566" s="403"/>
      <c r="T566" s="525" t="s">
        <v>1831</v>
      </c>
      <c r="U566" s="525" t="s">
        <v>2606</v>
      </c>
      <c r="AA566" s="28"/>
      <c r="AB566" s="28"/>
      <c r="AC566" s="997"/>
      <c r="AD566" s="536"/>
    </row>
    <row r="567" spans="6:30" ht="10.5" customHeight="1">
      <c r="F567" s="347"/>
      <c r="G567" s="324"/>
      <c r="H567" s="324"/>
      <c r="I567" s="324"/>
      <c r="J567" s="324"/>
      <c r="K567" s="324"/>
      <c r="L567" s="324"/>
      <c r="M567" s="324"/>
      <c r="N567" s="324"/>
      <c r="O567" s="324"/>
      <c r="P567" s="586" t="s">
        <v>2068</v>
      </c>
      <c r="Q567" s="301"/>
      <c r="R567" s="177"/>
      <c r="S567" s="403"/>
      <c r="T567" s="525" t="s">
        <v>1842</v>
      </c>
      <c r="U567" s="525" t="s">
        <v>105</v>
      </c>
      <c r="AA567" s="28"/>
      <c r="AB567" s="28"/>
      <c r="AC567" s="997"/>
      <c r="AD567" s="536"/>
    </row>
    <row r="568" spans="6:30" ht="10.5" customHeight="1">
      <c r="F568" s="347"/>
      <c r="G568" s="324"/>
      <c r="H568" s="324"/>
      <c r="I568" s="324"/>
      <c r="J568" s="324"/>
      <c r="K568" s="324"/>
      <c r="L568" s="324"/>
      <c r="M568" s="324"/>
      <c r="N568" s="324"/>
      <c r="O568" s="324"/>
      <c r="P568" s="586" t="s">
        <v>1458</v>
      </c>
      <c r="Q568" s="301"/>
      <c r="R568" s="177"/>
      <c r="S568" s="403"/>
      <c r="T568" s="525" t="s">
        <v>1844</v>
      </c>
      <c r="U568" s="525" t="s">
        <v>2257</v>
      </c>
      <c r="AA568" s="28"/>
      <c r="AB568" s="28"/>
      <c r="AC568" s="997"/>
      <c r="AD568" s="536"/>
    </row>
    <row r="569" spans="6:30" ht="10.5" customHeight="1">
      <c r="F569" s="347"/>
      <c r="G569" s="324"/>
      <c r="H569" s="324"/>
      <c r="I569" s="324"/>
      <c r="J569" s="324"/>
      <c r="K569" s="324"/>
      <c r="L569" s="324"/>
      <c r="M569" s="324"/>
      <c r="N569" s="324"/>
      <c r="O569" s="324"/>
      <c r="P569" s="586" t="s">
        <v>1460</v>
      </c>
      <c r="Q569" s="301"/>
      <c r="R569" s="177"/>
      <c r="S569" s="403"/>
      <c r="T569" s="525" t="s">
        <v>1847</v>
      </c>
      <c r="U569" s="525" t="s">
        <v>2257</v>
      </c>
      <c r="AA569" s="28"/>
      <c r="AB569" s="28"/>
      <c r="AC569" s="997"/>
      <c r="AD569" s="536"/>
    </row>
    <row r="570" spans="6:30" ht="10.5" customHeight="1">
      <c r="F570" s="347"/>
      <c r="G570" s="324"/>
      <c r="H570" s="324"/>
      <c r="I570" s="324"/>
      <c r="J570" s="324"/>
      <c r="K570" s="324"/>
      <c r="L570" s="324"/>
      <c r="M570" s="324"/>
      <c r="N570" s="324"/>
      <c r="O570" s="324"/>
      <c r="P570" s="586" t="s">
        <v>1461</v>
      </c>
      <c r="Q570" s="301"/>
      <c r="R570" s="177"/>
      <c r="S570" s="403"/>
      <c r="T570" s="525" t="s">
        <v>1849</v>
      </c>
      <c r="U570" s="525" t="s">
        <v>313</v>
      </c>
      <c r="AA570" s="28"/>
      <c r="AB570" s="28"/>
      <c r="AC570" s="997"/>
      <c r="AD570" s="536"/>
    </row>
    <row r="571" spans="6:30" ht="10.5" customHeight="1">
      <c r="F571" s="347"/>
      <c r="G571" s="324"/>
      <c r="H571" s="324"/>
      <c r="I571" s="324"/>
      <c r="J571" s="324"/>
      <c r="K571" s="324"/>
      <c r="L571" s="324"/>
      <c r="M571" s="324"/>
      <c r="N571" s="324"/>
      <c r="O571" s="324"/>
      <c r="P571" s="586" t="s">
        <v>1592</v>
      </c>
      <c r="Q571" s="301"/>
      <c r="R571" s="177"/>
      <c r="S571" s="403"/>
      <c r="T571" s="525" t="s">
        <v>1851</v>
      </c>
      <c r="U571" s="525" t="s">
        <v>1678</v>
      </c>
      <c r="AA571" s="28"/>
      <c r="AB571" s="28"/>
      <c r="AC571" s="997"/>
      <c r="AD571" s="536"/>
    </row>
    <row r="572" spans="6:30" ht="10.5" customHeight="1">
      <c r="F572" s="347"/>
      <c r="G572" s="324"/>
      <c r="H572" s="324"/>
      <c r="I572" s="324"/>
      <c r="J572" s="324"/>
      <c r="K572" s="324"/>
      <c r="L572" s="324"/>
      <c r="M572" s="324"/>
      <c r="N572" s="324"/>
      <c r="O572" s="324"/>
      <c r="P572" s="586" t="s">
        <v>2134</v>
      </c>
      <c r="Q572" s="301"/>
      <c r="R572" s="177"/>
      <c r="S572" s="403"/>
      <c r="T572" s="525" t="s">
        <v>1853</v>
      </c>
      <c r="U572" s="525" t="s">
        <v>323</v>
      </c>
      <c r="AA572" s="28"/>
      <c r="AB572" s="28"/>
      <c r="AC572" s="997"/>
      <c r="AD572" s="536"/>
    </row>
    <row r="573" spans="6:30" ht="10.5" customHeight="1">
      <c r="F573" s="347"/>
      <c r="G573" s="324"/>
      <c r="H573" s="324"/>
      <c r="I573" s="324"/>
      <c r="J573" s="324"/>
      <c r="K573" s="324"/>
      <c r="L573" s="324"/>
      <c r="M573" s="324"/>
      <c r="N573" s="324"/>
      <c r="O573" s="324"/>
      <c r="P573" s="586" t="s">
        <v>2136</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2138</v>
      </c>
      <c r="Q574" s="301"/>
      <c r="R574" s="177"/>
      <c r="S574" s="403"/>
      <c r="T574" s="525" t="s">
        <v>1960</v>
      </c>
      <c r="U574" s="525" t="s">
        <v>109</v>
      </c>
      <c r="AA574" s="28"/>
      <c r="AB574" s="28"/>
      <c r="AC574" s="536"/>
      <c r="AD574" s="536"/>
    </row>
    <row r="575" spans="6:30" ht="10.5" customHeight="1">
      <c r="F575" s="347"/>
      <c r="G575" s="324"/>
      <c r="H575" s="324"/>
      <c r="I575" s="324"/>
      <c r="J575" s="324"/>
      <c r="K575" s="324"/>
      <c r="L575" s="324"/>
      <c r="M575" s="324"/>
      <c r="N575" s="324"/>
      <c r="O575" s="324"/>
      <c r="P575" s="586" t="s">
        <v>1451</v>
      </c>
      <c r="Q575" s="301"/>
      <c r="R575" s="177"/>
      <c r="S575" s="403"/>
      <c r="T575" s="525" t="s">
        <v>1822</v>
      </c>
      <c r="U575" s="525" t="s">
        <v>1103</v>
      </c>
      <c r="AA575" s="28"/>
      <c r="AB575" s="28"/>
      <c r="AC575" s="997"/>
      <c r="AD575" s="536"/>
    </row>
    <row r="576" spans="6:30" ht="10.5" customHeight="1">
      <c r="F576" s="347"/>
      <c r="G576" s="324"/>
      <c r="H576" s="324"/>
      <c r="I576" s="324"/>
      <c r="J576" s="324"/>
      <c r="K576" s="324"/>
      <c r="L576" s="324"/>
      <c r="M576" s="324"/>
      <c r="N576" s="324"/>
      <c r="O576" s="324"/>
      <c r="P576" s="586" t="s">
        <v>1453</v>
      </c>
      <c r="Q576" s="301"/>
      <c r="R576" s="177"/>
      <c r="S576" s="403"/>
      <c r="T576" s="525" t="s">
        <v>2607</v>
      </c>
      <c r="U576" s="525" t="s">
        <v>1331</v>
      </c>
      <c r="AA576" s="28"/>
      <c r="AB576" s="28"/>
      <c r="AC576" s="997"/>
      <c r="AD576" s="536"/>
    </row>
    <row r="577" spans="6:30" ht="10.5" customHeight="1">
      <c r="F577" s="347"/>
      <c r="G577" s="324"/>
      <c r="H577" s="324"/>
      <c r="I577" s="324"/>
      <c r="J577" s="324"/>
      <c r="K577" s="324"/>
      <c r="L577" s="324"/>
      <c r="M577" s="324"/>
      <c r="N577" s="324"/>
      <c r="O577" s="324"/>
      <c r="P577" s="586" t="s">
        <v>1566</v>
      </c>
      <c r="Q577" s="301"/>
      <c r="R577" s="177"/>
      <c r="S577" s="403"/>
      <c r="T577" s="525" t="s">
        <v>1655</v>
      </c>
      <c r="U577" s="525" t="s">
        <v>2183</v>
      </c>
      <c r="AA577" s="28"/>
      <c r="AB577" s="28"/>
      <c r="AC577" s="997"/>
      <c r="AD577" s="536"/>
    </row>
    <row r="578" spans="6:30" ht="10.5" customHeight="1">
      <c r="F578" s="347"/>
      <c r="G578" s="324"/>
      <c r="H578" s="324"/>
      <c r="I578" s="324"/>
      <c r="J578" s="324"/>
      <c r="K578" s="324"/>
      <c r="L578" s="324"/>
      <c r="M578" s="324"/>
      <c r="N578" s="324"/>
      <c r="O578" s="324"/>
      <c r="P578" s="586" t="s">
        <v>1568</v>
      </c>
      <c r="Q578" s="301"/>
      <c r="R578" s="177"/>
      <c r="S578" s="403"/>
      <c r="T578" s="525" t="s">
        <v>838</v>
      </c>
      <c r="U578" s="525" t="s">
        <v>2190</v>
      </c>
      <c r="AA578" s="28"/>
      <c r="AB578" s="28"/>
      <c r="AC578" s="997"/>
      <c r="AD578" s="536"/>
    </row>
    <row r="579" spans="6:30" ht="10.5" customHeight="1">
      <c r="F579" s="347"/>
      <c r="G579" s="324"/>
      <c r="H579" s="324"/>
      <c r="I579" s="324"/>
      <c r="J579" s="324"/>
      <c r="K579" s="324"/>
      <c r="L579" s="324"/>
      <c r="M579" s="324"/>
      <c r="N579" s="324"/>
      <c r="O579" s="324"/>
      <c r="P579" s="586" t="s">
        <v>2066</v>
      </c>
      <c r="Q579" s="301"/>
      <c r="R579" s="177"/>
      <c r="S579" s="403"/>
      <c r="T579" s="525" t="s">
        <v>2287</v>
      </c>
      <c r="U579" s="525" t="s">
        <v>1680</v>
      </c>
      <c r="AA579" s="28"/>
      <c r="AB579" s="28"/>
      <c r="AC579" s="997"/>
      <c r="AD579" s="536"/>
    </row>
    <row r="580" spans="6:30" ht="10.5" customHeight="1">
      <c r="F580" s="347"/>
      <c r="G580" s="324"/>
      <c r="H580" s="324"/>
      <c r="I580" s="324"/>
      <c r="J580" s="324"/>
      <c r="K580" s="324"/>
      <c r="L580" s="324"/>
      <c r="M580" s="324"/>
      <c r="N580" s="324"/>
      <c r="O580" s="324"/>
      <c r="P580" s="586" t="s">
        <v>1885</v>
      </c>
      <c r="Q580" s="301"/>
      <c r="R580" s="177"/>
      <c r="S580" s="403"/>
      <c r="T580" s="525" t="s">
        <v>2289</v>
      </c>
      <c r="U580" s="525" t="s">
        <v>2187</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564</v>
      </c>
      <c r="U581" s="525" t="s">
        <v>2605</v>
      </c>
      <c r="AA581" s="28"/>
      <c r="AB581" s="28"/>
      <c r="AC581" s="997"/>
      <c r="AD581" s="536"/>
    </row>
    <row r="582" spans="6:30" ht="10.5" customHeight="1">
      <c r="F582" s="347"/>
      <c r="G582" s="324"/>
      <c r="H582" s="324"/>
      <c r="I582" s="324"/>
      <c r="J582" s="324"/>
      <c r="K582" s="324"/>
      <c r="L582" s="324"/>
      <c r="M582" s="324"/>
      <c r="N582" s="324"/>
      <c r="O582" s="324"/>
      <c r="P582" s="586" t="s">
        <v>1696</v>
      </c>
      <c r="Q582" s="301"/>
      <c r="R582" s="177"/>
      <c r="S582" s="403"/>
      <c r="T582" s="525" t="s">
        <v>566</v>
      </c>
      <c r="U582" s="525" t="s">
        <v>1217</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1072</v>
      </c>
      <c r="U583" s="525" t="s">
        <v>633</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568</v>
      </c>
      <c r="U584" s="525" t="s">
        <v>1677</v>
      </c>
      <c r="AA584" s="28"/>
      <c r="AB584" s="28"/>
      <c r="AC584" s="997"/>
      <c r="AD584" s="536"/>
    </row>
    <row r="585" spans="6:30" ht="10.5" customHeight="1">
      <c r="F585" s="347"/>
      <c r="G585" s="324"/>
      <c r="H585" s="324"/>
      <c r="I585" s="324"/>
      <c r="J585" s="324"/>
      <c r="K585" s="324"/>
      <c r="L585" s="324"/>
      <c r="M585" s="324"/>
      <c r="N585" s="324"/>
      <c r="O585" s="324"/>
      <c r="P585" s="586" t="s">
        <v>1194</v>
      </c>
      <c r="Q585" s="301"/>
      <c r="R585" s="177"/>
      <c r="S585" s="403"/>
      <c r="T585" s="525" t="s">
        <v>1188</v>
      </c>
      <c r="U585" s="525" t="s">
        <v>1103</v>
      </c>
      <c r="AA585" s="28"/>
      <c r="AB585" s="28"/>
      <c r="AC585" s="997"/>
      <c r="AD585" s="536"/>
    </row>
    <row r="586" spans="6:30" ht="10.5" customHeight="1">
      <c r="F586" s="347"/>
      <c r="G586" s="324"/>
      <c r="H586" s="324"/>
      <c r="I586" s="324"/>
      <c r="J586" s="324"/>
      <c r="K586" s="324"/>
      <c r="L586" s="324"/>
      <c r="M586" s="324"/>
      <c r="N586" s="324"/>
      <c r="O586" s="324"/>
      <c r="P586" s="586" t="s">
        <v>750</v>
      </c>
      <c r="Q586" s="301"/>
      <c r="R586" s="177"/>
      <c r="S586" s="403"/>
      <c r="T586" s="525" t="s">
        <v>1459</v>
      </c>
      <c r="U586" s="525" t="s">
        <v>1678</v>
      </c>
      <c r="AA586" s="28"/>
      <c r="AB586" s="28"/>
      <c r="AC586" s="997"/>
      <c r="AD586" s="536"/>
    </row>
    <row r="587" spans="6:30" ht="10.5" customHeight="1">
      <c r="F587" s="347"/>
      <c r="G587" s="324"/>
      <c r="H587" s="324"/>
      <c r="I587" s="324"/>
      <c r="J587" s="324"/>
      <c r="K587" s="324"/>
      <c r="L587" s="324"/>
      <c r="M587" s="324"/>
      <c r="N587" s="324"/>
      <c r="O587" s="324"/>
      <c r="P587" s="586" t="s">
        <v>752</v>
      </c>
      <c r="Q587" s="301"/>
      <c r="R587" s="177"/>
      <c r="S587" s="403"/>
      <c r="T587" s="525" t="s">
        <v>2885</v>
      </c>
      <c r="U587" s="525" t="s">
        <v>1330</v>
      </c>
      <c r="AA587" s="28"/>
      <c r="AB587" s="28"/>
      <c r="AC587" s="997"/>
      <c r="AD587" s="536"/>
    </row>
    <row r="588" spans="6:30" ht="10.5" customHeight="1">
      <c r="F588" s="347"/>
      <c r="G588" s="324"/>
      <c r="H588" s="324"/>
      <c r="I588" s="324"/>
      <c r="J588" s="324"/>
      <c r="K588" s="324"/>
      <c r="L588" s="324"/>
      <c r="M588" s="324"/>
      <c r="N588" s="324"/>
      <c r="O588" s="324"/>
      <c r="P588" s="586" t="s">
        <v>1036</v>
      </c>
      <c r="Q588" s="301"/>
      <c r="R588" s="177"/>
      <c r="S588" s="403"/>
      <c r="T588" s="525" t="s">
        <v>1462</v>
      </c>
      <c r="U588" s="525" t="s">
        <v>662</v>
      </c>
      <c r="AA588" s="28"/>
      <c r="AB588" s="28"/>
      <c r="AC588" s="997"/>
      <c r="AD588" s="536"/>
    </row>
    <row r="589" spans="6:30" ht="10.5" customHeight="1">
      <c r="F589" s="347"/>
      <c r="G589" s="324"/>
      <c r="H589" s="324"/>
      <c r="I589" s="324"/>
      <c r="J589" s="324"/>
      <c r="K589" s="324"/>
      <c r="L589" s="324"/>
      <c r="M589" s="324"/>
      <c r="N589" s="324"/>
      <c r="O589" s="324"/>
      <c r="P589" s="586" t="s">
        <v>1038</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1826</v>
      </c>
      <c r="Q590" s="301"/>
      <c r="R590" s="177"/>
      <c r="S590" s="403"/>
      <c r="T590" s="525" t="s">
        <v>1593</v>
      </c>
      <c r="U590" s="525" t="s">
        <v>1789</v>
      </c>
      <c r="AA590" s="28"/>
      <c r="AB590" s="28"/>
      <c r="AC590" s="536"/>
      <c r="AD590" s="536"/>
    </row>
    <row r="591" spans="6:30" ht="10.5" customHeight="1">
      <c r="F591" s="347"/>
      <c r="G591" s="324"/>
      <c r="H591" s="324"/>
      <c r="I591" s="324"/>
      <c r="J591" s="324"/>
      <c r="K591" s="324"/>
      <c r="L591" s="324"/>
      <c r="M591" s="324"/>
      <c r="N591" s="324"/>
      <c r="O591" s="324"/>
      <c r="P591" s="586" t="s">
        <v>1828</v>
      </c>
      <c r="Q591" s="301"/>
      <c r="R591" s="177"/>
      <c r="S591" s="403"/>
      <c r="T591" s="525" t="s">
        <v>2135</v>
      </c>
      <c r="U591" s="525" t="s">
        <v>1645</v>
      </c>
      <c r="AA591" s="28"/>
      <c r="AB591" s="28"/>
      <c r="AC591" s="997"/>
      <c r="AD591" s="536"/>
    </row>
    <row r="592" spans="6:30" ht="10.5" customHeight="1">
      <c r="F592" s="347"/>
      <c r="G592" s="324"/>
      <c r="H592" s="324"/>
      <c r="I592" s="324"/>
      <c r="J592" s="324"/>
      <c r="K592" s="324"/>
      <c r="L592" s="324"/>
      <c r="M592" s="324"/>
      <c r="N592" s="324"/>
      <c r="O592" s="324"/>
      <c r="P592" s="586" t="s">
        <v>1829</v>
      </c>
      <c r="Q592" s="301"/>
      <c r="R592" s="177"/>
      <c r="S592" s="403"/>
      <c r="T592" s="292" t="s">
        <v>2137</v>
      </c>
      <c r="U592" s="292" t="s">
        <v>1336</v>
      </c>
      <c r="AA592" s="28"/>
      <c r="AB592" s="28"/>
      <c r="AC592" s="997"/>
      <c r="AD592" s="536"/>
    </row>
    <row r="593" spans="6:30" ht="10.5" customHeight="1">
      <c r="F593" s="347"/>
      <c r="G593" s="324"/>
      <c r="H593" s="324"/>
      <c r="I593" s="324"/>
      <c r="J593" s="324"/>
      <c r="K593" s="324"/>
      <c r="L593" s="324"/>
      <c r="M593" s="324"/>
      <c r="N593" s="324"/>
      <c r="O593" s="324"/>
      <c r="P593" s="586" t="s">
        <v>1144</v>
      </c>
      <c r="Q593" s="301"/>
      <c r="R593" s="177"/>
      <c r="S593" s="403"/>
      <c r="T593" s="525" t="s">
        <v>1450</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1452</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1073</v>
      </c>
      <c r="U596" s="292" t="s">
        <v>1680</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1454</v>
      </c>
      <c r="U597" s="292" t="s">
        <v>633</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1567</v>
      </c>
      <c r="U598" s="525" t="s">
        <v>317</v>
      </c>
      <c r="AA598" s="28"/>
      <c r="AB598" s="28"/>
      <c r="AC598" s="536"/>
      <c r="AD598" s="536"/>
    </row>
    <row r="599" spans="6:30" ht="10.5" customHeight="1">
      <c r="F599" s="347"/>
      <c r="G599" s="324"/>
      <c r="H599" s="324"/>
      <c r="I599" s="324"/>
      <c r="J599" s="324"/>
      <c r="K599" s="324"/>
      <c r="L599" s="324"/>
      <c r="M599" s="324"/>
      <c r="N599" s="324"/>
      <c r="O599" s="324"/>
      <c r="P599" s="586" t="s">
        <v>2158</v>
      </c>
      <c r="Q599" s="301"/>
      <c r="R599" s="177"/>
      <c r="S599" s="403"/>
      <c r="T599" s="525" t="s">
        <v>2067</v>
      </c>
      <c r="U599" s="525" t="s">
        <v>961</v>
      </c>
      <c r="AA599" s="28"/>
      <c r="AB599" s="28"/>
      <c r="AC599" s="997"/>
      <c r="AD599" s="536"/>
    </row>
    <row r="600" spans="6:30" ht="10.5" customHeight="1">
      <c r="F600" s="347"/>
      <c r="G600" s="324"/>
      <c r="H600" s="324"/>
      <c r="I600" s="324"/>
      <c r="J600" s="324"/>
      <c r="K600" s="324"/>
      <c r="L600" s="324"/>
      <c r="M600" s="324"/>
      <c r="N600" s="324"/>
      <c r="O600" s="324"/>
      <c r="P600" s="586" t="s">
        <v>2160</v>
      </c>
      <c r="Q600" s="301"/>
      <c r="R600" s="177"/>
      <c r="S600" s="403"/>
      <c r="T600" s="525" t="s">
        <v>1886</v>
      </c>
      <c r="U600" s="525" t="s">
        <v>1965</v>
      </c>
      <c r="AA600" s="28"/>
      <c r="AB600" s="28"/>
      <c r="AC600" s="997"/>
      <c r="AD600" s="536"/>
    </row>
    <row r="601" spans="6:30" ht="10.5" customHeight="1">
      <c r="F601" s="347"/>
      <c r="G601" s="324"/>
      <c r="H601" s="324"/>
      <c r="I601" s="324"/>
      <c r="J601" s="324"/>
      <c r="K601" s="324"/>
      <c r="L601" s="324"/>
      <c r="M601" s="324"/>
      <c r="N601" s="324"/>
      <c r="O601" s="324"/>
      <c r="P601" s="586" t="s">
        <v>2162</v>
      </c>
      <c r="Q601" s="301"/>
      <c r="R601" s="177"/>
      <c r="S601" s="403"/>
      <c r="T601" s="525" t="s">
        <v>280</v>
      </c>
      <c r="U601" s="525" t="s">
        <v>1965</v>
      </c>
      <c r="AA601" s="28"/>
      <c r="AB601" s="28"/>
      <c r="AC601" s="997"/>
      <c r="AD601" s="536"/>
    </row>
    <row r="602" spans="6:30" ht="10.5" customHeight="1">
      <c r="F602" s="347"/>
      <c r="G602" s="324"/>
      <c r="H602" s="324"/>
      <c r="I602" s="324"/>
      <c r="J602" s="324"/>
      <c r="K602" s="324"/>
      <c r="L602" s="324"/>
      <c r="M602" s="324"/>
      <c r="N602" s="324"/>
      <c r="O602" s="324"/>
      <c r="P602" s="586" t="s">
        <v>2164</v>
      </c>
      <c r="Q602" s="301"/>
      <c r="R602" s="177"/>
      <c r="S602" s="403"/>
      <c r="T602" s="525" t="s">
        <v>1697</v>
      </c>
      <c r="U602" s="525" t="s">
        <v>2192</v>
      </c>
      <c r="AA602" s="28"/>
      <c r="AB602" s="28"/>
      <c r="AC602" s="997"/>
      <c r="AD602" s="536"/>
    </row>
    <row r="603" spans="6:30" ht="10.5" customHeight="1">
      <c r="F603" s="347"/>
      <c r="G603" s="324"/>
      <c r="H603" s="324"/>
      <c r="I603" s="324"/>
      <c r="J603" s="324"/>
      <c r="K603" s="324"/>
      <c r="L603" s="324"/>
      <c r="M603" s="324"/>
      <c r="N603" s="324"/>
      <c r="O603" s="324"/>
      <c r="P603" s="586" t="s">
        <v>2166</v>
      </c>
      <c r="Q603" s="301"/>
      <c r="R603" s="177"/>
      <c r="S603" s="403"/>
      <c r="T603" s="525" t="s">
        <v>264</v>
      </c>
      <c r="U603" s="525" t="s">
        <v>672</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1193</v>
      </c>
      <c r="U604" s="525" t="s">
        <v>160</v>
      </c>
      <c r="AA604" s="28"/>
      <c r="AB604" s="28"/>
      <c r="AC604" s="997"/>
      <c r="AD604" s="536"/>
    </row>
    <row r="605" spans="6:30" ht="10.5" customHeight="1">
      <c r="F605" s="347"/>
      <c r="G605" s="324"/>
      <c r="H605" s="324"/>
      <c r="I605" s="324"/>
      <c r="J605" s="324"/>
      <c r="K605" s="324"/>
      <c r="L605" s="324"/>
      <c r="M605" s="324"/>
      <c r="N605" s="324"/>
      <c r="O605" s="324"/>
      <c r="P605" s="586" t="s">
        <v>2032</v>
      </c>
      <c r="Q605" s="301"/>
      <c r="R605" s="177"/>
      <c r="S605" s="403"/>
      <c r="T605" s="525" t="s">
        <v>1195</v>
      </c>
      <c r="U605" s="525" t="s">
        <v>160</v>
      </c>
      <c r="AA605" s="28"/>
      <c r="AB605" s="28"/>
      <c r="AC605" s="997"/>
      <c r="AD605" s="536"/>
    </row>
    <row r="606" spans="6:30" ht="10.5" customHeight="1">
      <c r="F606" s="347"/>
      <c r="G606" s="324"/>
      <c r="H606" s="324"/>
      <c r="I606" s="324"/>
      <c r="J606" s="324"/>
      <c r="K606" s="324"/>
      <c r="L606" s="324"/>
      <c r="M606" s="324"/>
      <c r="N606" s="324"/>
      <c r="O606" s="324"/>
      <c r="P606" s="586" t="s">
        <v>1525</v>
      </c>
      <c r="Q606" s="301"/>
      <c r="R606" s="177"/>
      <c r="S606" s="403"/>
      <c r="T606" s="525" t="s">
        <v>751</v>
      </c>
      <c r="U606" s="525" t="s">
        <v>1338</v>
      </c>
      <c r="AA606" s="28"/>
      <c r="AB606" s="28"/>
      <c r="AC606" s="997"/>
      <c r="AD606" s="536"/>
    </row>
    <row r="607" spans="6:30" ht="10.5" customHeight="1">
      <c r="F607" s="347"/>
      <c r="G607" s="324"/>
      <c r="H607" s="324"/>
      <c r="I607" s="324"/>
      <c r="J607" s="324"/>
      <c r="K607" s="324"/>
      <c r="L607" s="324"/>
      <c r="M607" s="324"/>
      <c r="N607" s="324"/>
      <c r="O607" s="324"/>
      <c r="P607" s="586" t="s">
        <v>1527</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1529</v>
      </c>
      <c r="Q608" s="301"/>
      <c r="R608" s="177"/>
      <c r="S608" s="403"/>
      <c r="T608" s="525" t="s">
        <v>1037</v>
      </c>
      <c r="U608" s="525" t="s">
        <v>2416</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1762</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1827</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1108</v>
      </c>
      <c r="U611" s="525" t="s">
        <v>738</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1074</v>
      </c>
      <c r="U612" s="525" t="s">
        <v>963</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1112</v>
      </c>
      <c r="U613" s="525" t="s">
        <v>1335</v>
      </c>
      <c r="AA613" s="28"/>
      <c r="AB613" s="28"/>
      <c r="AC613" s="997"/>
      <c r="AD613" s="536"/>
    </row>
    <row r="614" spans="6:30" ht="10.5" customHeight="1">
      <c r="F614" s="347"/>
      <c r="G614" s="324"/>
      <c r="H614" s="324"/>
      <c r="I614" s="324"/>
      <c r="J614" s="324"/>
      <c r="K614" s="324"/>
      <c r="L614" s="324"/>
      <c r="M614" s="324"/>
      <c r="N614" s="324"/>
      <c r="O614" s="324"/>
      <c r="P614" s="586" t="s">
        <v>783</v>
      </c>
      <c r="Q614" s="301"/>
      <c r="R614" s="177"/>
      <c r="S614" s="403"/>
      <c r="T614" s="525" t="s">
        <v>404</v>
      </c>
      <c r="U614" s="525" t="s">
        <v>672</v>
      </c>
      <c r="AA614" s="28"/>
      <c r="AB614" s="28"/>
      <c r="AC614" s="997"/>
      <c r="AD614" s="536"/>
    </row>
    <row r="615" spans="6:30" ht="10.5" customHeight="1">
      <c r="F615" s="347"/>
      <c r="G615" s="324"/>
      <c r="H615" s="324"/>
      <c r="I615" s="324"/>
      <c r="J615" s="324"/>
      <c r="K615" s="324"/>
      <c r="L615" s="324"/>
      <c r="M615" s="324"/>
      <c r="N615" s="324"/>
      <c r="O615" s="324"/>
      <c r="P615" s="586" t="s">
        <v>734</v>
      </c>
      <c r="Q615" s="301"/>
      <c r="R615" s="177"/>
      <c r="S615" s="403"/>
      <c r="T615" s="292" t="s">
        <v>1075</v>
      </c>
      <c r="U615" s="292" t="s">
        <v>123</v>
      </c>
      <c r="AA615" s="28"/>
      <c r="AB615" s="28"/>
      <c r="AC615" s="997"/>
      <c r="AD615" s="536"/>
    </row>
    <row r="616" spans="6:30" ht="10.5" customHeight="1">
      <c r="F616" s="347"/>
      <c r="G616" s="324"/>
      <c r="H616" s="324"/>
      <c r="I616" s="324"/>
      <c r="J616" s="324"/>
      <c r="K616" s="324"/>
      <c r="L616" s="324"/>
      <c r="M616" s="324"/>
      <c r="N616" s="324"/>
      <c r="O616" s="324"/>
      <c r="P616" s="586" t="s">
        <v>736</v>
      </c>
      <c r="Q616" s="301"/>
      <c r="R616" s="177"/>
      <c r="S616" s="403"/>
      <c r="T616" s="525" t="s">
        <v>4</v>
      </c>
      <c r="U616" s="525" t="s">
        <v>1328</v>
      </c>
      <c r="AA616" s="28"/>
      <c r="AB616" s="28"/>
      <c r="AC616" s="536"/>
      <c r="AD616" s="536"/>
    </row>
    <row r="617" spans="6:30" ht="10.5" customHeight="1">
      <c r="F617" s="347"/>
      <c r="G617" s="324"/>
      <c r="H617" s="324"/>
      <c r="I617" s="324"/>
      <c r="J617" s="324"/>
      <c r="K617" s="324"/>
      <c r="L617" s="324"/>
      <c r="M617" s="324"/>
      <c r="N617" s="324"/>
      <c r="O617" s="324"/>
      <c r="P617" s="586" t="s">
        <v>1189</v>
      </c>
      <c r="Q617" s="301"/>
      <c r="R617" s="177"/>
      <c r="S617" s="403"/>
      <c r="T617" s="525" t="s">
        <v>6</v>
      </c>
      <c r="U617" s="525" t="s">
        <v>2412</v>
      </c>
      <c r="AA617" s="28"/>
      <c r="AB617" s="28"/>
      <c r="AC617" s="997"/>
      <c r="AD617" s="536"/>
    </row>
    <row r="618" spans="6:30" ht="10.5" customHeight="1">
      <c r="F618" s="347"/>
      <c r="G618" s="324"/>
      <c r="H618" s="324"/>
      <c r="I618" s="324"/>
      <c r="J618" s="324"/>
      <c r="K618" s="324"/>
      <c r="L618" s="324"/>
      <c r="M618" s="324"/>
      <c r="N618" s="324"/>
      <c r="O618" s="324"/>
      <c r="P618" s="586" t="s">
        <v>1050</v>
      </c>
      <c r="Q618" s="301"/>
      <c r="R618" s="177"/>
      <c r="S618" s="403"/>
      <c r="T618" s="525" t="s">
        <v>8</v>
      </c>
      <c r="U618" s="525" t="s">
        <v>1931</v>
      </c>
      <c r="AA618" s="28"/>
      <c r="AB618" s="28"/>
      <c r="AC618" s="997"/>
      <c r="AD618" s="536"/>
    </row>
    <row r="619" spans="6:30" ht="10.5" customHeight="1">
      <c r="F619" s="347"/>
      <c r="G619" s="324"/>
      <c r="H619" s="324"/>
      <c r="I619" s="324"/>
      <c r="J619" s="324"/>
      <c r="K619" s="324"/>
      <c r="L619" s="324"/>
      <c r="M619" s="324"/>
      <c r="N619" s="324"/>
      <c r="O619" s="324"/>
      <c r="P619" s="586" t="s">
        <v>1051</v>
      </c>
      <c r="Q619" s="301"/>
      <c r="R619" s="177"/>
      <c r="S619" s="403"/>
      <c r="T619" s="525" t="s">
        <v>1076</v>
      </c>
      <c r="U619" s="525" t="s">
        <v>633</v>
      </c>
      <c r="AA619" s="28"/>
      <c r="AB619" s="28"/>
      <c r="AC619" s="997"/>
      <c r="AD619" s="536"/>
    </row>
    <row r="620" spans="6:30" ht="10.5" customHeight="1">
      <c r="F620" s="347"/>
      <c r="G620" s="324"/>
      <c r="H620" s="324"/>
      <c r="I620" s="324"/>
      <c r="J620" s="324"/>
      <c r="K620" s="324"/>
      <c r="L620" s="324"/>
      <c r="M620" s="324"/>
      <c r="N620" s="324"/>
      <c r="O620" s="324"/>
      <c r="P620" s="586" t="s">
        <v>1053</v>
      </c>
      <c r="Q620" s="301"/>
      <c r="R620" s="177"/>
      <c r="S620" s="403"/>
      <c r="T620" s="525" t="s">
        <v>1077</v>
      </c>
      <c r="U620" s="525" t="s">
        <v>318</v>
      </c>
      <c r="AA620" s="28"/>
      <c r="AB620" s="28"/>
      <c r="AC620" s="997"/>
      <c r="AD620" s="536"/>
    </row>
    <row r="621" spans="6:30" ht="10.5" customHeight="1">
      <c r="F621" s="347"/>
      <c r="G621" s="324"/>
      <c r="H621" s="324"/>
      <c r="I621" s="324"/>
      <c r="J621" s="324"/>
      <c r="K621" s="324"/>
      <c r="L621" s="324"/>
      <c r="M621" s="324"/>
      <c r="N621" s="324"/>
      <c r="O621" s="324"/>
      <c r="P621" s="586" t="s">
        <v>2280</v>
      </c>
      <c r="Q621" s="301"/>
      <c r="R621" s="177"/>
      <c r="S621" s="403"/>
      <c r="T621" s="525" t="s">
        <v>2157</v>
      </c>
      <c r="U621" s="525" t="s">
        <v>1338</v>
      </c>
      <c r="AA621" s="28"/>
      <c r="AB621" s="28"/>
      <c r="AC621" s="997"/>
      <c r="AD621" s="536"/>
    </row>
    <row r="622" spans="6:30" ht="10.5" customHeight="1">
      <c r="F622" s="347"/>
      <c r="G622" s="324"/>
      <c r="H622" s="324"/>
      <c r="I622" s="324"/>
      <c r="J622" s="324"/>
      <c r="K622" s="324"/>
      <c r="L622" s="324"/>
      <c r="M622" s="324"/>
      <c r="N622" s="324"/>
      <c r="O622" s="324"/>
      <c r="P622" s="586" t="s">
        <v>2282</v>
      </c>
      <c r="Q622" s="301"/>
      <c r="R622" s="177"/>
      <c r="S622" s="403"/>
      <c r="T622" s="525" t="s">
        <v>2159</v>
      </c>
      <c r="U622" s="525" t="s">
        <v>2198</v>
      </c>
      <c r="AA622" s="28"/>
      <c r="AB622" s="28"/>
      <c r="AC622" s="997"/>
      <c r="AD622" s="536"/>
    </row>
    <row r="623" spans="6:30" ht="10.5" customHeight="1">
      <c r="F623" s="347"/>
      <c r="G623" s="324"/>
      <c r="H623" s="324"/>
      <c r="I623" s="324"/>
      <c r="J623" s="324"/>
      <c r="K623" s="324"/>
      <c r="L623" s="324"/>
      <c r="M623" s="324"/>
      <c r="N623" s="324"/>
      <c r="O623" s="324"/>
      <c r="P623" s="586" t="s">
        <v>1781</v>
      </c>
      <c r="Q623" s="301"/>
      <c r="R623" s="177"/>
      <c r="S623" s="403"/>
      <c r="T623" s="525" t="s">
        <v>2161</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2163</v>
      </c>
      <c r="U624" s="525" t="s">
        <v>1464</v>
      </c>
      <c r="AA624" s="28"/>
      <c r="AB624" s="28"/>
      <c r="AC624" s="997"/>
      <c r="AD624" s="536"/>
    </row>
    <row r="625" spans="6:30" ht="10.5" customHeight="1">
      <c r="F625" s="347"/>
      <c r="G625" s="324"/>
      <c r="H625" s="324"/>
      <c r="I625" s="324"/>
      <c r="J625" s="324"/>
      <c r="K625" s="324"/>
      <c r="L625" s="324"/>
      <c r="M625" s="324"/>
      <c r="N625" s="324"/>
      <c r="O625" s="324"/>
      <c r="P625" s="586" t="s">
        <v>2178</v>
      </c>
      <c r="Q625" s="301"/>
      <c r="R625" s="177"/>
      <c r="S625" s="403"/>
      <c r="T625" s="292" t="s">
        <v>2165</v>
      </c>
      <c r="U625" s="292" t="s">
        <v>672</v>
      </c>
      <c r="AA625" s="28"/>
      <c r="AB625" s="28"/>
      <c r="AC625" s="997"/>
      <c r="AD625" s="536"/>
    </row>
    <row r="626" spans="6:30" ht="10.5" customHeight="1">
      <c r="F626" s="347"/>
      <c r="G626" s="324"/>
      <c r="H626" s="324"/>
      <c r="I626" s="324"/>
      <c r="J626" s="324"/>
      <c r="K626" s="324"/>
      <c r="L626" s="324"/>
      <c r="M626" s="324"/>
      <c r="N626" s="324"/>
      <c r="O626" s="324"/>
      <c r="P626" s="586" t="s">
        <v>1623</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1624</v>
      </c>
      <c r="Q627" s="301"/>
      <c r="R627" s="177"/>
      <c r="S627" s="403"/>
      <c r="T627" s="525" t="s">
        <v>1524</v>
      </c>
      <c r="U627" s="525" t="s">
        <v>2200</v>
      </c>
      <c r="AA627" s="28"/>
      <c r="AB627" s="28"/>
      <c r="AC627" s="997"/>
      <c r="AD627" s="536"/>
    </row>
    <row r="628" spans="6:30" ht="10.5" customHeight="1">
      <c r="F628" s="347"/>
      <c r="G628" s="324"/>
      <c r="H628" s="324"/>
      <c r="I628" s="324"/>
      <c r="J628" s="324"/>
      <c r="K628" s="324"/>
      <c r="L628" s="324"/>
      <c r="M628" s="324"/>
      <c r="N628" s="324"/>
      <c r="O628" s="324"/>
      <c r="P628" s="586" t="s">
        <v>1626</v>
      </c>
      <c r="Q628" s="301"/>
      <c r="R628" s="177"/>
      <c r="S628" s="403"/>
      <c r="T628" s="292" t="s">
        <v>1526</v>
      </c>
      <c r="U628" s="292" t="s">
        <v>201</v>
      </c>
      <c r="AA628" s="28"/>
      <c r="AB628" s="28"/>
      <c r="AC628" s="997"/>
      <c r="AD628" s="536"/>
    </row>
    <row r="629" spans="6:30" ht="10.5" customHeight="1">
      <c r="F629" s="347"/>
      <c r="G629" s="324"/>
      <c r="H629" s="324"/>
      <c r="I629" s="324"/>
      <c r="J629" s="324"/>
      <c r="K629" s="324"/>
      <c r="L629" s="324"/>
      <c r="M629" s="324"/>
      <c r="N629" s="324"/>
      <c r="O629" s="324"/>
      <c r="P629" s="586" t="s">
        <v>1627</v>
      </c>
      <c r="Q629" s="301"/>
      <c r="R629" s="177"/>
      <c r="S629" s="403"/>
      <c r="T629" s="525" t="s">
        <v>1528</v>
      </c>
      <c r="U629" s="525" t="s">
        <v>1467</v>
      </c>
      <c r="AA629" s="28"/>
      <c r="AB629" s="28"/>
      <c r="AC629" s="536"/>
      <c r="AD629" s="536"/>
    </row>
    <row r="630" spans="6:30" ht="10.5" customHeight="1">
      <c r="F630" s="347"/>
      <c r="G630" s="324"/>
      <c r="H630" s="324"/>
      <c r="I630" s="324"/>
      <c r="J630" s="324"/>
      <c r="K630" s="324"/>
      <c r="L630" s="324"/>
      <c r="M630" s="324"/>
      <c r="N630" s="324"/>
      <c r="O630" s="324"/>
      <c r="P630" s="586" t="s">
        <v>1629</v>
      </c>
      <c r="Q630" s="301"/>
      <c r="R630" s="177"/>
      <c r="S630" s="403"/>
      <c r="T630" s="525" t="s">
        <v>1530</v>
      </c>
      <c r="U630" s="525" t="s">
        <v>2190</v>
      </c>
      <c r="AA630" s="28"/>
      <c r="AB630" s="28"/>
      <c r="AC630" s="997"/>
      <c r="AD630" s="536"/>
    </row>
    <row r="631" spans="6:30" ht="10.5" customHeight="1">
      <c r="F631" s="347"/>
      <c r="G631" s="324"/>
      <c r="H631" s="324"/>
      <c r="I631" s="324"/>
      <c r="J631" s="324"/>
      <c r="K631" s="324"/>
      <c r="L631" s="324"/>
      <c r="M631" s="324"/>
      <c r="N631" s="324"/>
      <c r="O631" s="324"/>
      <c r="P631" s="586" t="s">
        <v>1630</v>
      </c>
      <c r="Q631" s="301"/>
      <c r="R631" s="177"/>
      <c r="S631" s="403"/>
      <c r="T631" s="525" t="s">
        <v>64</v>
      </c>
      <c r="U631" s="525" t="s">
        <v>1336</v>
      </c>
      <c r="AA631" s="28"/>
      <c r="AB631" s="28"/>
      <c r="AC631" s="997"/>
      <c r="AD631" s="536"/>
    </row>
    <row r="632" spans="6:30" ht="10.5" customHeight="1">
      <c r="F632" s="347"/>
      <c r="G632" s="324"/>
      <c r="H632" s="324"/>
      <c r="I632" s="324"/>
      <c r="J632" s="324"/>
      <c r="K632" s="324"/>
      <c r="L632" s="324"/>
      <c r="M632" s="324"/>
      <c r="N632" s="324"/>
      <c r="O632" s="324"/>
      <c r="P632" s="586" t="s">
        <v>1632</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885</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1531</v>
      </c>
      <c r="AA634" s="28"/>
      <c r="AB634" s="28"/>
      <c r="AC634" s="997"/>
      <c r="AD634" s="536"/>
    </row>
    <row r="635" spans="6:30" ht="10.5" customHeight="1">
      <c r="F635" s="347"/>
      <c r="G635" s="324"/>
      <c r="H635" s="324"/>
      <c r="I635" s="324"/>
      <c r="J635" s="324"/>
      <c r="K635" s="324"/>
      <c r="L635" s="324"/>
      <c r="M635" s="324"/>
      <c r="N635" s="324"/>
      <c r="O635" s="324"/>
      <c r="P635" s="586" t="s">
        <v>996</v>
      </c>
      <c r="Q635" s="301"/>
      <c r="R635" s="177"/>
      <c r="S635" s="403"/>
      <c r="T635" s="525" t="s">
        <v>784</v>
      </c>
      <c r="U635" s="525" t="s">
        <v>2498</v>
      </c>
      <c r="AA635" s="28"/>
      <c r="AB635" s="28"/>
      <c r="AC635" s="997"/>
      <c r="AD635" s="536"/>
    </row>
    <row r="636" spans="6:30" ht="10.5" customHeight="1">
      <c r="F636" s="347"/>
      <c r="G636" s="324"/>
      <c r="H636" s="324"/>
      <c r="I636" s="324"/>
      <c r="J636" s="324"/>
      <c r="K636" s="324"/>
      <c r="L636" s="324"/>
      <c r="M636" s="324"/>
      <c r="N636" s="324"/>
      <c r="O636" s="324"/>
      <c r="P636" s="586" t="s">
        <v>997</v>
      </c>
      <c r="Q636" s="301"/>
      <c r="R636" s="177"/>
      <c r="S636" s="403"/>
      <c r="T636" s="292" t="s">
        <v>735</v>
      </c>
      <c r="U636" s="292" t="s">
        <v>2504</v>
      </c>
      <c r="AA636" s="28"/>
      <c r="AB636" s="28"/>
      <c r="AC636" s="997"/>
      <c r="AD636" s="536"/>
    </row>
    <row r="637" spans="6:30" ht="10.5" customHeight="1">
      <c r="F637" s="347"/>
      <c r="G637" s="324"/>
      <c r="H637" s="324"/>
      <c r="I637" s="324"/>
      <c r="J637" s="324"/>
      <c r="K637" s="324"/>
      <c r="L637" s="324"/>
      <c r="M637" s="324"/>
      <c r="N637" s="324"/>
      <c r="O637" s="324"/>
      <c r="P637" s="586" t="s">
        <v>999</v>
      </c>
      <c r="Q637" s="301"/>
      <c r="R637" s="177"/>
      <c r="S637" s="403"/>
      <c r="T637" s="525" t="s">
        <v>949</v>
      </c>
      <c r="U637" s="525" t="s">
        <v>2548</v>
      </c>
      <c r="AA637" s="28"/>
      <c r="AB637" s="28"/>
      <c r="AC637" s="536"/>
      <c r="AD637" s="536"/>
    </row>
    <row r="638" spans="6:30" ht="10.5" customHeight="1">
      <c r="F638" s="347"/>
      <c r="G638" s="324"/>
      <c r="H638" s="324"/>
      <c r="I638" s="324"/>
      <c r="J638" s="324"/>
      <c r="K638" s="324"/>
      <c r="L638" s="324"/>
      <c r="M638" s="324"/>
      <c r="N638" s="324"/>
      <c r="O638" s="324"/>
      <c r="P638" s="586" t="s">
        <v>2395</v>
      </c>
      <c r="Q638" s="301"/>
      <c r="R638" s="177"/>
      <c r="S638" s="403"/>
      <c r="T638" s="525" t="s">
        <v>1078</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1190</v>
      </c>
      <c r="U639" s="525" t="s">
        <v>1965</v>
      </c>
      <c r="AA639" s="28"/>
      <c r="AB639" s="28"/>
      <c r="AC639" s="997"/>
      <c r="AD639" s="536"/>
    </row>
    <row r="640" spans="6:30" ht="10.5" customHeight="1">
      <c r="F640" s="347"/>
      <c r="G640" s="324"/>
      <c r="H640" s="324"/>
      <c r="I640" s="324"/>
      <c r="J640" s="324"/>
      <c r="K640" s="324"/>
      <c r="L640" s="324"/>
      <c r="M640" s="324"/>
      <c r="N640" s="324"/>
      <c r="O640" s="324"/>
      <c r="P640" s="586" t="s">
        <v>2016</v>
      </c>
      <c r="Q640" s="301"/>
      <c r="R640" s="177"/>
      <c r="S640" s="403"/>
      <c r="T640" s="525" t="s">
        <v>2888</v>
      </c>
      <c r="U640" s="525" t="s">
        <v>1791</v>
      </c>
      <c r="AA640" s="28"/>
      <c r="AB640" s="28"/>
      <c r="AC640" s="997"/>
      <c r="AD640" s="536"/>
    </row>
    <row r="641" spans="6:30" ht="10.5" customHeight="1">
      <c r="F641" s="347"/>
      <c r="G641" s="324"/>
      <c r="H641" s="324"/>
      <c r="I641" s="324"/>
      <c r="J641" s="324"/>
      <c r="K641" s="324"/>
      <c r="L641" s="324"/>
      <c r="M641" s="324"/>
      <c r="N641" s="324"/>
      <c r="O641" s="324"/>
      <c r="P641" s="586" t="s">
        <v>952</v>
      </c>
      <c r="Q641" s="301"/>
      <c r="R641" s="177"/>
      <c r="S641" s="403"/>
      <c r="T641" s="292" t="s">
        <v>1052</v>
      </c>
      <c r="U641" s="292" t="s">
        <v>1106</v>
      </c>
      <c r="AA641" s="28"/>
      <c r="AB641" s="28"/>
      <c r="AC641" s="997"/>
      <c r="AD641" s="536"/>
    </row>
    <row r="642" spans="6:30" ht="10.5" customHeight="1">
      <c r="F642" s="347"/>
      <c r="G642" s="324"/>
      <c r="H642" s="324"/>
      <c r="I642" s="324"/>
      <c r="J642" s="324"/>
      <c r="K642" s="324"/>
      <c r="L642" s="324"/>
      <c r="M642" s="324"/>
      <c r="N642" s="324"/>
      <c r="O642" s="324"/>
      <c r="P642" s="586" t="s">
        <v>778</v>
      </c>
      <c r="Q642" s="301"/>
      <c r="R642" s="177"/>
      <c r="S642" s="403"/>
      <c r="T642" s="525" t="s">
        <v>2281</v>
      </c>
      <c r="U642" s="525" t="s">
        <v>2183</v>
      </c>
      <c r="AA642" s="28"/>
      <c r="AB642" s="28"/>
      <c r="AC642" s="536"/>
      <c r="AD642" s="536"/>
    </row>
    <row r="643" spans="6:30" ht="10.5" customHeight="1">
      <c r="F643" s="347"/>
      <c r="G643" s="324"/>
      <c r="H643" s="324"/>
      <c r="I643" s="324"/>
      <c r="J643" s="324"/>
      <c r="K643" s="324"/>
      <c r="L643" s="324"/>
      <c r="M643" s="324"/>
      <c r="N643" s="324"/>
      <c r="O643" s="324"/>
      <c r="P643" s="586" t="s">
        <v>1479</v>
      </c>
      <c r="Q643" s="301"/>
      <c r="R643" s="177"/>
      <c r="S643" s="403"/>
      <c r="T643" s="525" t="s">
        <v>2283</v>
      </c>
      <c r="U643" s="525" t="s">
        <v>663</v>
      </c>
      <c r="AA643" s="28"/>
      <c r="AB643" s="28"/>
      <c r="AC643" s="997"/>
      <c r="AD643" s="536"/>
    </row>
    <row r="644" spans="6:30" ht="10.5" customHeight="1">
      <c r="F644" s="347"/>
      <c r="G644" s="324"/>
      <c r="H644" s="324"/>
      <c r="I644" s="324"/>
      <c r="J644" s="324"/>
      <c r="K644" s="324"/>
      <c r="L644" s="324"/>
      <c r="M644" s="324"/>
      <c r="N644" s="324"/>
      <c r="O644" s="324"/>
      <c r="P644" s="586" t="s">
        <v>1481</v>
      </c>
      <c r="Q644" s="301"/>
      <c r="R644" s="177"/>
      <c r="S644" s="403"/>
      <c r="T644" s="525" t="s">
        <v>1782</v>
      </c>
      <c r="U644" s="525" t="s">
        <v>740</v>
      </c>
      <c r="AA644" s="28"/>
      <c r="AB644" s="28"/>
      <c r="AC644" s="997"/>
      <c r="AD644" s="536"/>
    </row>
    <row r="645" spans="6:30" ht="10.5" customHeight="1">
      <c r="F645" s="347"/>
      <c r="G645" s="324"/>
      <c r="H645" s="324"/>
      <c r="I645" s="324"/>
      <c r="J645" s="324"/>
      <c r="K645" s="324"/>
      <c r="L645" s="324"/>
      <c r="M645" s="324"/>
      <c r="N645" s="324"/>
      <c r="O645" s="324"/>
      <c r="P645" s="586" t="s">
        <v>1483</v>
      </c>
      <c r="Q645" s="301"/>
      <c r="R645" s="177"/>
      <c r="S645" s="403"/>
      <c r="T645" s="525" t="s">
        <v>2537</v>
      </c>
      <c r="U645" s="525" t="s">
        <v>2022</v>
      </c>
      <c r="AA645" s="28"/>
      <c r="AB645" s="28"/>
      <c r="AC645" s="997"/>
      <c r="AD645" s="536"/>
    </row>
    <row r="646" spans="6:30" ht="10.5" customHeight="1">
      <c r="F646" s="347"/>
      <c r="G646" s="324"/>
      <c r="H646" s="324"/>
      <c r="I646" s="324"/>
      <c r="J646" s="324"/>
      <c r="K646" s="324"/>
      <c r="L646" s="324"/>
      <c r="M646" s="324"/>
      <c r="N646" s="324"/>
      <c r="O646" s="324"/>
      <c r="P646" s="586" t="s">
        <v>1316</v>
      </c>
      <c r="Q646" s="301"/>
      <c r="R646" s="177"/>
      <c r="S646" s="403"/>
      <c r="T646" s="525" t="s">
        <v>2179</v>
      </c>
      <c r="U646" s="525" t="s">
        <v>1217</v>
      </c>
      <c r="AA646" s="28"/>
      <c r="AB646" s="28"/>
      <c r="AC646" s="997"/>
      <c r="AD646" s="536"/>
    </row>
    <row r="647" spans="6:30" ht="10.5" customHeight="1">
      <c r="F647" s="347"/>
      <c r="G647" s="324"/>
      <c r="H647" s="324"/>
      <c r="I647" s="324"/>
      <c r="J647" s="324"/>
      <c r="K647" s="324"/>
      <c r="L647" s="324"/>
      <c r="M647" s="324"/>
      <c r="N647" s="324"/>
      <c r="O647" s="324"/>
      <c r="P647" s="586" t="s">
        <v>1318</v>
      </c>
      <c r="Q647" s="301"/>
      <c r="R647" s="177"/>
      <c r="S647" s="403"/>
      <c r="T647" s="292" t="s">
        <v>1625</v>
      </c>
      <c r="U647" s="292" t="s">
        <v>665</v>
      </c>
      <c r="AA647" s="28"/>
      <c r="AB647" s="28"/>
      <c r="AC647" s="997"/>
      <c r="AD647" s="536"/>
    </row>
    <row r="648" spans="6:30" ht="10.5" customHeight="1">
      <c r="F648" s="347"/>
      <c r="G648" s="324"/>
      <c r="H648" s="324"/>
      <c r="I648" s="324"/>
      <c r="J648" s="324"/>
      <c r="K648" s="324"/>
      <c r="L648" s="324"/>
      <c r="M648" s="324"/>
      <c r="N648" s="324"/>
      <c r="O648" s="324"/>
      <c r="P648" s="586" t="s">
        <v>2006</v>
      </c>
      <c r="Q648" s="301"/>
      <c r="R648" s="177"/>
      <c r="S648" s="403"/>
      <c r="T648" s="525" t="s">
        <v>839</v>
      </c>
      <c r="U648" s="525" t="s">
        <v>1324</v>
      </c>
      <c r="AA648" s="28"/>
      <c r="AB648" s="28"/>
      <c r="AC648" s="536"/>
      <c r="AD648" s="536"/>
    </row>
    <row r="649" spans="6:30" ht="10.5" customHeight="1">
      <c r="F649" s="347"/>
      <c r="G649" s="324"/>
      <c r="H649" s="324"/>
      <c r="I649" s="324"/>
      <c r="J649" s="324"/>
      <c r="K649" s="324"/>
      <c r="L649" s="324"/>
      <c r="M649" s="324"/>
      <c r="N649" s="324"/>
      <c r="O649" s="324"/>
      <c r="P649" s="586" t="s">
        <v>741</v>
      </c>
      <c r="Q649" s="301"/>
      <c r="R649" s="177"/>
      <c r="S649" s="403"/>
      <c r="T649" s="525" t="s">
        <v>1628</v>
      </c>
      <c r="U649" s="525" t="s">
        <v>2600</v>
      </c>
      <c r="AA649" s="28"/>
      <c r="AB649" s="28"/>
      <c r="AC649" s="997"/>
      <c r="AD649" s="536"/>
    </row>
    <row r="650" spans="6:30" ht="10.5" customHeight="1">
      <c r="F650" s="347"/>
      <c r="G650" s="324"/>
      <c r="H650" s="324"/>
      <c r="I650" s="324"/>
      <c r="J650" s="324"/>
      <c r="K650" s="324"/>
      <c r="L650" s="324"/>
      <c r="M650" s="324"/>
      <c r="N650" s="324"/>
      <c r="O650" s="324"/>
      <c r="P650" s="586" t="s">
        <v>1277</v>
      </c>
      <c r="Q650" s="301"/>
      <c r="R650" s="177"/>
      <c r="S650" s="403"/>
      <c r="T650" s="525" t="s">
        <v>1631</v>
      </c>
      <c r="U650" s="525" t="s">
        <v>1645</v>
      </c>
      <c r="AA650" s="28"/>
      <c r="AB650" s="28"/>
      <c r="AC650" s="997"/>
      <c r="AD650" s="536"/>
    </row>
    <row r="651" spans="6:30" ht="10.5" customHeight="1">
      <c r="F651" s="347"/>
      <c r="G651" s="324"/>
      <c r="H651" s="324"/>
      <c r="I651" s="324"/>
      <c r="J651" s="324"/>
      <c r="K651" s="324"/>
      <c r="L651" s="324"/>
      <c r="M651" s="324"/>
      <c r="N651" s="324"/>
      <c r="O651" s="324"/>
      <c r="P651" s="586" t="s">
        <v>1896</v>
      </c>
      <c r="Q651" s="301"/>
      <c r="R651" s="177"/>
      <c r="S651" s="403"/>
      <c r="T651" s="525" t="s">
        <v>1080</v>
      </c>
      <c r="U651" s="525" t="s">
        <v>1531</v>
      </c>
      <c r="AA651" s="28"/>
      <c r="AB651" s="28"/>
      <c r="AC651" s="997"/>
      <c r="AD651" s="536"/>
    </row>
    <row r="652" spans="6:30" ht="10.5" customHeight="1">
      <c r="F652" s="347"/>
      <c r="G652" s="324"/>
      <c r="H652" s="324"/>
      <c r="I652" s="324"/>
      <c r="J652" s="324"/>
      <c r="K652" s="324"/>
      <c r="L652" s="324"/>
      <c r="M652" s="324"/>
      <c r="N652" s="324"/>
      <c r="O652" s="324"/>
      <c r="P652" s="586" t="s">
        <v>1897</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1899</v>
      </c>
      <c r="Q653" s="301"/>
      <c r="R653" s="177"/>
      <c r="S653" s="403"/>
      <c r="T653" s="525" t="s">
        <v>822</v>
      </c>
      <c r="U653" s="525" t="s">
        <v>1217</v>
      </c>
      <c r="AA653" s="28"/>
      <c r="AB653" s="28"/>
      <c r="AC653" s="997"/>
      <c r="AD653" s="536"/>
    </row>
    <row r="654" spans="6:30" ht="10.5" customHeight="1">
      <c r="F654" s="347"/>
      <c r="G654" s="324"/>
      <c r="H654" s="324"/>
      <c r="I654" s="324"/>
      <c r="J654" s="324"/>
      <c r="K654" s="324"/>
      <c r="L654" s="324"/>
      <c r="M654" s="324"/>
      <c r="N654" s="324"/>
      <c r="O654" s="324"/>
      <c r="P654" s="586" t="s">
        <v>1901</v>
      </c>
      <c r="Q654" s="301"/>
      <c r="R654" s="177"/>
      <c r="S654" s="403"/>
      <c r="T654" s="525" t="s">
        <v>1314</v>
      </c>
      <c r="U654" s="525" t="s">
        <v>1923</v>
      </c>
      <c r="AA654" s="28"/>
      <c r="AB654" s="28"/>
      <c r="AC654" s="997"/>
      <c r="AD654" s="536"/>
    </row>
    <row r="655" spans="6:30" ht="10.5" customHeight="1">
      <c r="F655" s="347"/>
      <c r="G655" s="324"/>
      <c r="H655" s="324"/>
      <c r="I655" s="324"/>
      <c r="J655" s="324"/>
      <c r="K655" s="324"/>
      <c r="L655" s="324"/>
      <c r="M655" s="324"/>
      <c r="N655" s="324"/>
      <c r="O655" s="324"/>
      <c r="P655" s="586" t="s">
        <v>1903</v>
      </c>
      <c r="Q655" s="301"/>
      <c r="R655" s="177"/>
      <c r="S655" s="403"/>
      <c r="T655" s="525" t="s">
        <v>169</v>
      </c>
      <c r="U655" s="525" t="s">
        <v>1340</v>
      </c>
      <c r="AA655" s="28"/>
      <c r="AB655" s="28"/>
      <c r="AC655" s="997"/>
      <c r="AD655" s="536"/>
    </row>
    <row r="656" spans="6:30" ht="10.5" customHeight="1">
      <c r="F656" s="347"/>
      <c r="G656" s="324"/>
      <c r="H656" s="324"/>
      <c r="I656" s="324"/>
      <c r="J656" s="324"/>
      <c r="K656" s="324"/>
      <c r="L656" s="324"/>
      <c r="M656" s="324"/>
      <c r="N656" s="324"/>
      <c r="O656" s="324"/>
      <c r="P656" s="586" t="s">
        <v>505</v>
      </c>
      <c r="Q656" s="301"/>
      <c r="R656" s="177"/>
      <c r="S656" s="403"/>
      <c r="T656" s="525" t="s">
        <v>998</v>
      </c>
      <c r="U656" s="525" t="s">
        <v>1677</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1163</v>
      </c>
      <c r="Q659" s="301"/>
      <c r="R659" s="177"/>
      <c r="S659" s="403"/>
      <c r="T659" s="525" t="s">
        <v>1337</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879</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1081</v>
      </c>
      <c r="U661" s="525" t="s">
        <v>633</v>
      </c>
      <c r="AA661" s="28"/>
      <c r="AB661" s="28"/>
      <c r="AC661" s="997"/>
      <c r="AD661" s="536"/>
    </row>
    <row r="662" spans="6:30" ht="10.5" customHeight="1">
      <c r="F662" s="347"/>
      <c r="G662" s="324"/>
      <c r="H662" s="324"/>
      <c r="I662" s="324"/>
      <c r="J662" s="324"/>
      <c r="K662" s="324"/>
      <c r="L662" s="324"/>
      <c r="M662" s="324"/>
      <c r="N662" s="324"/>
      <c r="O662" s="324"/>
      <c r="P662" s="586" t="s">
        <v>1542</v>
      </c>
      <c r="Q662" s="301"/>
      <c r="R662" s="177"/>
      <c r="S662" s="403"/>
      <c r="T662" s="525" t="s">
        <v>2183</v>
      </c>
      <c r="U662" s="525" t="s">
        <v>109</v>
      </c>
      <c r="AA662" s="28"/>
      <c r="AB662" s="28"/>
      <c r="AC662" s="997"/>
      <c r="AD662" s="536"/>
    </row>
    <row r="663" spans="6:30" ht="10.5" customHeight="1">
      <c r="F663" s="347"/>
      <c r="G663" s="324"/>
      <c r="H663" s="324"/>
      <c r="I663" s="324"/>
      <c r="J663" s="324"/>
      <c r="K663" s="324"/>
      <c r="L663" s="324"/>
      <c r="M663" s="324"/>
      <c r="N663" s="324"/>
      <c r="O663" s="324"/>
      <c r="P663" s="586" t="s">
        <v>1543</v>
      </c>
      <c r="Q663" s="301"/>
      <c r="R663" s="177"/>
      <c r="S663" s="403"/>
      <c r="T663" s="525" t="s">
        <v>2783</v>
      </c>
      <c r="U663" s="525" t="s">
        <v>1619</v>
      </c>
      <c r="AA663" s="28"/>
      <c r="AB663" s="28"/>
      <c r="AC663" s="997"/>
      <c r="AD663" s="536"/>
    </row>
    <row r="664" spans="6:30" ht="10.5" customHeight="1">
      <c r="F664" s="347"/>
      <c r="G664" s="324"/>
      <c r="H664" s="324"/>
      <c r="I664" s="324"/>
      <c r="J664" s="324"/>
      <c r="K664" s="324"/>
      <c r="L664" s="324"/>
      <c r="M664" s="324"/>
      <c r="N664" s="324"/>
      <c r="O664" s="324"/>
      <c r="P664" s="586" t="s">
        <v>2115</v>
      </c>
      <c r="Q664" s="301"/>
      <c r="R664" s="177"/>
      <c r="S664" s="403"/>
      <c r="T664" s="525" t="s">
        <v>1480</v>
      </c>
      <c r="U664" s="525" t="s">
        <v>2547</v>
      </c>
      <c r="AA664" s="28"/>
      <c r="AB664" s="28"/>
      <c r="AC664" s="997"/>
      <c r="AD664" s="536"/>
    </row>
    <row r="665" spans="6:30" ht="10.5" customHeight="1">
      <c r="F665" s="347"/>
      <c r="G665" s="324"/>
      <c r="H665" s="324"/>
      <c r="I665" s="324"/>
      <c r="J665" s="324"/>
      <c r="K665" s="324"/>
      <c r="L665" s="324"/>
      <c r="M665" s="324"/>
      <c r="N665" s="324"/>
      <c r="O665" s="324"/>
      <c r="P665" s="586" t="s">
        <v>2116</v>
      </c>
      <c r="Q665" s="301"/>
      <c r="R665" s="177"/>
      <c r="S665" s="403"/>
      <c r="T665" s="525" t="s">
        <v>2891</v>
      </c>
      <c r="U665" s="525" t="s">
        <v>1965</v>
      </c>
      <c r="AA665" s="28"/>
      <c r="AB665" s="28"/>
      <c r="AC665" s="997"/>
      <c r="AD665" s="536"/>
    </row>
    <row r="666" spans="6:30" ht="10.5" customHeight="1">
      <c r="F666" s="347"/>
      <c r="G666" s="324"/>
      <c r="H666" s="324"/>
      <c r="I666" s="324"/>
      <c r="J666" s="324"/>
      <c r="K666" s="324"/>
      <c r="L666" s="324"/>
      <c r="M666" s="324"/>
      <c r="N666" s="324"/>
      <c r="O666" s="324"/>
      <c r="P666" s="586" t="s">
        <v>1633</v>
      </c>
      <c r="Q666" s="301"/>
      <c r="R666" s="177"/>
      <c r="S666" s="403"/>
      <c r="T666" s="525" t="s">
        <v>1482</v>
      </c>
      <c r="U666" s="525" t="s">
        <v>327</v>
      </c>
      <c r="AA666" s="28"/>
      <c r="AB666" s="28"/>
      <c r="AC666" s="997"/>
      <c r="AD666" s="536"/>
    </row>
    <row r="667" spans="6:30" ht="10.5" customHeight="1">
      <c r="F667" s="347"/>
      <c r="G667" s="324"/>
      <c r="H667" s="324"/>
      <c r="I667" s="324"/>
      <c r="J667" s="324"/>
      <c r="K667" s="324"/>
      <c r="L667" s="324"/>
      <c r="M667" s="324"/>
      <c r="N667" s="324"/>
      <c r="O667" s="324"/>
      <c r="P667" s="586" t="s">
        <v>1635</v>
      </c>
      <c r="Q667" s="301"/>
      <c r="R667" s="177"/>
      <c r="S667" s="403"/>
      <c r="T667" s="525" t="s">
        <v>1082</v>
      </c>
      <c r="U667" s="525" t="s">
        <v>663</v>
      </c>
      <c r="AA667" s="28"/>
      <c r="AB667" s="28"/>
      <c r="AC667" s="997"/>
      <c r="AD667" s="536"/>
    </row>
    <row r="668" spans="6:30" ht="10.5" customHeight="1">
      <c r="F668" s="347"/>
      <c r="G668" s="324"/>
      <c r="H668" s="324"/>
      <c r="I668" s="324"/>
      <c r="J668" s="324"/>
      <c r="K668" s="324"/>
      <c r="L668" s="324"/>
      <c r="M668" s="324"/>
      <c r="N668" s="324"/>
      <c r="O668" s="324"/>
      <c r="P668" s="586" t="s">
        <v>944</v>
      </c>
      <c r="Q668" s="301"/>
      <c r="R668" s="177"/>
      <c r="S668" s="403"/>
      <c r="T668" s="525" t="s">
        <v>1317</v>
      </c>
      <c r="U668" s="525" t="s">
        <v>2196</v>
      </c>
      <c r="AA668" s="28"/>
      <c r="AB668" s="28"/>
      <c r="AC668" s="997"/>
      <c r="AD668" s="536"/>
    </row>
    <row r="669" spans="6:30" ht="10.5" customHeight="1">
      <c r="F669" s="347"/>
      <c r="G669" s="324"/>
      <c r="H669" s="324"/>
      <c r="I669" s="324"/>
      <c r="J669" s="324"/>
      <c r="K669" s="324"/>
      <c r="L669" s="324"/>
      <c r="M669" s="324"/>
      <c r="N669" s="324"/>
      <c r="O669" s="324"/>
      <c r="P669" s="586" t="s">
        <v>946</v>
      </c>
      <c r="Q669" s="301"/>
      <c r="R669" s="177"/>
      <c r="S669" s="403"/>
      <c r="T669" s="525" t="s">
        <v>1319</v>
      </c>
      <c r="U669" s="525" t="s">
        <v>2547</v>
      </c>
      <c r="AA669" s="28"/>
      <c r="AB669" s="28"/>
      <c r="AC669" s="997"/>
      <c r="AD669" s="536"/>
    </row>
    <row r="670" spans="6:30" ht="10.5" customHeight="1">
      <c r="F670" s="347"/>
      <c r="G670" s="324"/>
      <c r="H670" s="324"/>
      <c r="I670" s="324"/>
      <c r="J670" s="324"/>
      <c r="K670" s="324"/>
      <c r="L670" s="324"/>
      <c r="M670" s="324"/>
      <c r="N670" s="324"/>
      <c r="O670" s="324"/>
      <c r="P670" s="586" t="s">
        <v>948</v>
      </c>
      <c r="Q670" s="301"/>
      <c r="R670" s="177"/>
      <c r="S670" s="403"/>
      <c r="T670" s="292" t="s">
        <v>2007</v>
      </c>
      <c r="U670" s="292" t="s">
        <v>1116</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742</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1278</v>
      </c>
      <c r="U672" s="525" t="s">
        <v>676</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1083</v>
      </c>
      <c r="U673" s="525" t="s">
        <v>160</v>
      </c>
      <c r="AA673" s="28"/>
      <c r="AB673" s="28"/>
      <c r="AC673" s="997"/>
      <c r="AD673" s="536"/>
    </row>
    <row r="674" spans="6:30" ht="10.5" customHeight="1">
      <c r="F674" s="347"/>
      <c r="G674" s="324"/>
      <c r="H674" s="324"/>
      <c r="I674" s="324"/>
      <c r="J674" s="324"/>
      <c r="K674" s="324"/>
      <c r="L674" s="324"/>
      <c r="M674" s="324"/>
      <c r="N674" s="324"/>
      <c r="O674" s="324"/>
      <c r="P674" s="586" t="s">
        <v>1915</v>
      </c>
      <c r="Q674" s="301"/>
      <c r="R674" s="177"/>
      <c r="S674" s="403"/>
      <c r="T674" s="525" t="s">
        <v>1898</v>
      </c>
      <c r="U674" s="525" t="s">
        <v>1114</v>
      </c>
      <c r="AA674" s="28"/>
      <c r="AB674" s="28"/>
      <c r="AC674" s="997"/>
      <c r="AD674" s="536"/>
    </row>
    <row r="675" spans="6:30" ht="10.5" customHeight="1">
      <c r="F675" s="347"/>
      <c r="G675" s="324"/>
      <c r="H675" s="324"/>
      <c r="I675" s="324"/>
      <c r="J675" s="324"/>
      <c r="K675" s="324"/>
      <c r="L675" s="324"/>
      <c r="M675" s="324"/>
      <c r="N675" s="324"/>
      <c r="O675" s="324"/>
      <c r="P675" s="586" t="s">
        <v>1916</v>
      </c>
      <c r="Q675" s="301"/>
      <c r="R675" s="177"/>
      <c r="S675" s="403"/>
      <c r="T675" s="525" t="s">
        <v>1900</v>
      </c>
      <c r="U675" s="525" t="s">
        <v>1466</v>
      </c>
      <c r="AA675" s="28"/>
      <c r="AB675" s="28"/>
      <c r="AC675" s="997"/>
      <c r="AD675" s="536"/>
    </row>
    <row r="676" spans="6:30" ht="10.5" customHeight="1">
      <c r="F676" s="347"/>
      <c r="G676" s="324"/>
      <c r="H676" s="324"/>
      <c r="I676" s="324"/>
      <c r="J676" s="324"/>
      <c r="K676" s="324"/>
      <c r="L676" s="324"/>
      <c r="M676" s="324"/>
      <c r="N676" s="324"/>
      <c r="O676" s="324"/>
      <c r="P676" s="586" t="s">
        <v>1918</v>
      </c>
      <c r="Q676" s="301"/>
      <c r="R676" s="177"/>
      <c r="S676" s="403"/>
      <c r="T676" s="525" t="s">
        <v>1902</v>
      </c>
      <c r="U676" s="525" t="s">
        <v>2501</v>
      </c>
      <c r="AA676" s="28"/>
      <c r="AB676" s="28"/>
      <c r="AC676" s="997"/>
      <c r="AD676" s="536"/>
    </row>
    <row r="677" spans="6:30" ht="10.5" customHeight="1">
      <c r="F677" s="347"/>
      <c r="G677" s="324"/>
      <c r="H677" s="324"/>
      <c r="I677" s="324"/>
      <c r="J677" s="324"/>
      <c r="K677" s="324"/>
      <c r="L677" s="324"/>
      <c r="M677" s="324"/>
      <c r="N677" s="324"/>
      <c r="O677" s="324"/>
      <c r="P677" s="586" t="s">
        <v>648</v>
      </c>
      <c r="Q677" s="301"/>
      <c r="R677" s="177"/>
      <c r="S677" s="403"/>
      <c r="T677" s="525" t="s">
        <v>1904</v>
      </c>
      <c r="U677" s="525" t="s">
        <v>122</v>
      </c>
      <c r="AA677" s="28"/>
      <c r="AB677" s="28"/>
      <c r="AC677" s="997"/>
      <c r="AD677" s="536"/>
    </row>
    <row r="678" spans="6:30" ht="10.5" customHeight="1">
      <c r="F678" s="347"/>
      <c r="G678" s="324"/>
      <c r="H678" s="324"/>
      <c r="I678" s="324"/>
      <c r="J678" s="324"/>
      <c r="K678" s="324"/>
      <c r="L678" s="324"/>
      <c r="M678" s="324"/>
      <c r="N678" s="324"/>
      <c r="O678" s="324"/>
      <c r="P678" s="586" t="s">
        <v>650</v>
      </c>
      <c r="Q678" s="301"/>
      <c r="R678" s="177"/>
      <c r="S678" s="403"/>
      <c r="T678" s="525" t="s">
        <v>506</v>
      </c>
      <c r="U678" s="525" t="s">
        <v>2023</v>
      </c>
      <c r="AA678" s="28"/>
      <c r="AB678" s="28"/>
      <c r="AC678" s="997"/>
      <c r="AD678" s="536"/>
    </row>
    <row r="679" spans="6:30" ht="10.5" customHeight="1">
      <c r="F679" s="347"/>
      <c r="G679" s="324"/>
      <c r="H679" s="324"/>
      <c r="I679" s="324"/>
      <c r="J679" s="324"/>
      <c r="K679" s="324"/>
      <c r="L679" s="324"/>
      <c r="M679" s="324"/>
      <c r="N679" s="324"/>
      <c r="O679" s="324"/>
      <c r="P679" s="586" t="s">
        <v>651</v>
      </c>
      <c r="Q679" s="301"/>
      <c r="R679" s="177"/>
      <c r="S679" s="403"/>
      <c r="T679" s="525" t="s">
        <v>2552</v>
      </c>
      <c r="U679" s="525" t="s">
        <v>1927</v>
      </c>
      <c r="AA679" s="28"/>
      <c r="AB679" s="28"/>
      <c r="AC679" s="997"/>
      <c r="AD679" s="536"/>
    </row>
    <row r="680" spans="6:30" ht="10.5" customHeight="1">
      <c r="F680" s="347"/>
      <c r="G680" s="324"/>
      <c r="H680" s="324"/>
      <c r="I680" s="324"/>
      <c r="J680" s="324"/>
      <c r="K680" s="324"/>
      <c r="L680" s="324"/>
      <c r="M680" s="324"/>
      <c r="N680" s="324"/>
      <c r="O680" s="324"/>
      <c r="P680" s="586" t="s">
        <v>2323</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1164</v>
      </c>
      <c r="U681" s="525" t="s">
        <v>314</v>
      </c>
      <c r="AA681" s="28"/>
      <c r="AB681" s="28"/>
      <c r="AC681" s="997"/>
      <c r="AD681" s="536"/>
    </row>
    <row r="682" spans="6:30" ht="10.5" customHeight="1">
      <c r="F682" s="347"/>
      <c r="G682" s="324"/>
      <c r="H682" s="324"/>
      <c r="I682" s="324"/>
      <c r="J682" s="324"/>
      <c r="K682" s="324"/>
      <c r="L682" s="324"/>
      <c r="M682" s="324"/>
      <c r="N682" s="324"/>
      <c r="O682" s="324"/>
      <c r="P682" s="586" t="s">
        <v>1425</v>
      </c>
      <c r="Q682" s="301"/>
      <c r="R682" s="177"/>
      <c r="S682" s="403"/>
      <c r="T682" s="525" t="s">
        <v>2533</v>
      </c>
      <c r="U682" s="525" t="s">
        <v>885</v>
      </c>
      <c r="AA682" s="28"/>
      <c r="AB682" s="28"/>
      <c r="AC682" s="997"/>
      <c r="AD682" s="536"/>
    </row>
    <row r="683" spans="6:30" ht="10.5" customHeight="1">
      <c r="F683" s="347"/>
      <c r="G683" s="324"/>
      <c r="H683" s="324"/>
      <c r="I683" s="324"/>
      <c r="J683" s="324"/>
      <c r="K683" s="324"/>
      <c r="L683" s="324"/>
      <c r="M683" s="324"/>
      <c r="N683" s="324"/>
      <c r="O683" s="324"/>
      <c r="P683" s="586" t="s">
        <v>2272</v>
      </c>
      <c r="Q683" s="301"/>
      <c r="R683" s="177"/>
      <c r="S683" s="403"/>
      <c r="T683" s="525" t="s">
        <v>823</v>
      </c>
      <c r="U683" s="525" t="s">
        <v>1345</v>
      </c>
      <c r="AA683" s="28"/>
      <c r="AB683" s="28"/>
      <c r="AC683" s="997"/>
      <c r="AD683" s="536"/>
    </row>
    <row r="684" spans="6:30" ht="10.5" customHeight="1">
      <c r="F684" s="347"/>
      <c r="G684" s="324"/>
      <c r="H684" s="324"/>
      <c r="I684" s="324"/>
      <c r="J684" s="324"/>
      <c r="K684" s="324"/>
      <c r="L684" s="324"/>
      <c r="M684" s="324"/>
      <c r="N684" s="324"/>
      <c r="O684" s="324"/>
      <c r="P684" s="586" t="s">
        <v>2274</v>
      </c>
      <c r="Q684" s="301"/>
      <c r="R684" s="177"/>
      <c r="S684" s="403"/>
      <c r="T684" s="525" t="s">
        <v>1079</v>
      </c>
      <c r="U684" s="525" t="s">
        <v>671</v>
      </c>
      <c r="AA684" s="28"/>
      <c r="AB684" s="28"/>
      <c r="AC684" s="997"/>
      <c r="AD684" s="536"/>
    </row>
    <row r="685" spans="6:30" ht="10.5" customHeight="1">
      <c r="F685" s="347"/>
      <c r="G685" s="324"/>
      <c r="H685" s="324"/>
      <c r="I685" s="324"/>
      <c r="J685" s="324"/>
      <c r="K685" s="324"/>
      <c r="L685" s="324"/>
      <c r="M685" s="324"/>
      <c r="N685" s="324"/>
      <c r="O685" s="324"/>
      <c r="P685" s="586" t="s">
        <v>1816</v>
      </c>
      <c r="Q685" s="301"/>
      <c r="R685" s="177"/>
      <c r="S685" s="403"/>
      <c r="T685" s="525" t="s">
        <v>1544</v>
      </c>
      <c r="U685" s="525" t="s">
        <v>330</v>
      </c>
      <c r="AA685" s="28"/>
      <c r="AB685" s="28"/>
      <c r="AC685" s="997"/>
      <c r="AD685" s="536"/>
    </row>
    <row r="686" spans="6:30" ht="10.5" customHeight="1">
      <c r="F686" s="347"/>
      <c r="G686" s="324"/>
      <c r="H686" s="324"/>
      <c r="I686" s="324"/>
      <c r="J686" s="324"/>
      <c r="K686" s="324"/>
      <c r="L686" s="324"/>
      <c r="M686" s="324"/>
      <c r="N686" s="324"/>
      <c r="O686" s="324"/>
      <c r="P686" s="586" t="s">
        <v>1126</v>
      </c>
      <c r="Q686" s="301"/>
      <c r="R686" s="177"/>
      <c r="S686" s="403"/>
      <c r="T686" s="525" t="s">
        <v>2892</v>
      </c>
      <c r="U686" s="525" t="s">
        <v>884</v>
      </c>
      <c r="AA686" s="28"/>
      <c r="AB686" s="28"/>
      <c r="AC686" s="997"/>
      <c r="AD686" s="536"/>
    </row>
    <row r="687" spans="6:30" ht="10.5" customHeight="1">
      <c r="F687" s="347"/>
      <c r="G687" s="324"/>
      <c r="H687" s="324"/>
      <c r="I687" s="324"/>
      <c r="J687" s="324"/>
      <c r="K687" s="324"/>
      <c r="L687" s="324"/>
      <c r="M687" s="324"/>
      <c r="N687" s="324"/>
      <c r="O687" s="324"/>
      <c r="P687" s="586" t="s">
        <v>2062</v>
      </c>
      <c r="Q687" s="301"/>
      <c r="R687" s="177"/>
      <c r="S687" s="403"/>
      <c r="T687" s="525" t="s">
        <v>2117</v>
      </c>
      <c r="U687" s="525" t="s">
        <v>1338</v>
      </c>
      <c r="AA687" s="28"/>
      <c r="AB687" s="28"/>
      <c r="AC687" s="997"/>
      <c r="AD687" s="536"/>
    </row>
    <row r="688" spans="6:30" ht="10.5" customHeight="1">
      <c r="F688" s="347"/>
      <c r="G688" s="324"/>
      <c r="H688" s="324"/>
      <c r="I688" s="324"/>
      <c r="J688" s="324"/>
      <c r="K688" s="324"/>
      <c r="L688" s="324"/>
      <c r="M688" s="324"/>
      <c r="N688" s="324"/>
      <c r="O688" s="324"/>
      <c r="P688" s="586" t="s">
        <v>1983</v>
      </c>
      <c r="Q688" s="301"/>
      <c r="R688" s="177"/>
      <c r="S688" s="403"/>
      <c r="T688" s="525" t="s">
        <v>1634</v>
      </c>
      <c r="U688" s="525" t="s">
        <v>1324</v>
      </c>
      <c r="AA688" s="28"/>
      <c r="AB688" s="28"/>
      <c r="AC688" s="997"/>
      <c r="AD688" s="536"/>
    </row>
    <row r="689" spans="6:30" ht="10.5" customHeight="1">
      <c r="F689" s="347"/>
      <c r="G689" s="324"/>
      <c r="H689" s="324"/>
      <c r="I689" s="324"/>
      <c r="J689" s="324"/>
      <c r="K689" s="324"/>
      <c r="L689" s="324"/>
      <c r="M689" s="324"/>
      <c r="N689" s="324"/>
      <c r="O689" s="324"/>
      <c r="P689" s="586" t="s">
        <v>1985</v>
      </c>
      <c r="Q689" s="301"/>
      <c r="R689" s="177"/>
      <c r="S689" s="403"/>
      <c r="T689" s="525" t="s">
        <v>945</v>
      </c>
      <c r="U689" s="525" t="s">
        <v>2257</v>
      </c>
      <c r="AA689" s="28"/>
      <c r="AB689" s="28"/>
      <c r="AC689" s="997"/>
      <c r="AD689" s="536"/>
    </row>
    <row r="690" spans="6:30" ht="10.5" customHeight="1">
      <c r="F690" s="347"/>
      <c r="G690" s="324"/>
      <c r="H690" s="324"/>
      <c r="I690" s="324"/>
      <c r="J690" s="324"/>
      <c r="K690" s="324"/>
      <c r="L690" s="324"/>
      <c r="M690" s="324"/>
      <c r="N690" s="324"/>
      <c r="O690" s="324"/>
      <c r="P690" s="586" t="s">
        <v>1987</v>
      </c>
      <c r="Q690" s="301"/>
      <c r="R690" s="177"/>
      <c r="S690" s="403"/>
      <c r="T690" s="525" t="s">
        <v>947</v>
      </c>
      <c r="U690" s="525" t="s">
        <v>321</v>
      </c>
      <c r="AA690" s="28"/>
      <c r="AB690" s="28"/>
      <c r="AC690" s="997"/>
      <c r="AD690" s="536"/>
    </row>
    <row r="691" spans="6:30" ht="10.5" customHeight="1">
      <c r="F691" s="347"/>
      <c r="G691" s="324"/>
      <c r="H691" s="324"/>
      <c r="I691" s="324"/>
      <c r="J691" s="324"/>
      <c r="K691" s="324"/>
      <c r="L691" s="324"/>
      <c r="M691" s="324"/>
      <c r="N691" s="324"/>
      <c r="O691" s="324"/>
      <c r="P691" s="586" t="s">
        <v>498</v>
      </c>
      <c r="Q691" s="301"/>
      <c r="R691" s="177"/>
      <c r="S691" s="403"/>
      <c r="T691" s="525" t="s">
        <v>2517</v>
      </c>
      <c r="U691" s="525" t="s">
        <v>633</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1914</v>
      </c>
      <c r="U692" s="525" t="s">
        <v>122</v>
      </c>
      <c r="AA692" s="28"/>
      <c r="AB692" s="28"/>
      <c r="AC692" s="997"/>
      <c r="AD692" s="536"/>
    </row>
    <row r="693" spans="6:30" ht="10.5" customHeight="1">
      <c r="F693" s="347"/>
      <c r="G693" s="324"/>
      <c r="H693" s="324"/>
      <c r="I693" s="324"/>
      <c r="J693" s="324"/>
      <c r="K693" s="324"/>
      <c r="L693" s="324"/>
      <c r="M693" s="324"/>
      <c r="N693" s="324"/>
      <c r="O693" s="324"/>
      <c r="P693" s="586" t="s">
        <v>2112</v>
      </c>
      <c r="Q693" s="301"/>
      <c r="R693" s="177"/>
      <c r="S693" s="403"/>
      <c r="T693" s="525" t="s">
        <v>1917</v>
      </c>
      <c r="U693" s="525" t="s">
        <v>2257</v>
      </c>
      <c r="AA693" s="28"/>
      <c r="AB693" s="28"/>
      <c r="AC693" s="997"/>
      <c r="AD693" s="536"/>
    </row>
    <row r="694" spans="6:30" ht="10.5" customHeight="1">
      <c r="F694" s="347"/>
      <c r="G694" s="324"/>
      <c r="H694" s="324"/>
      <c r="I694" s="324"/>
      <c r="J694" s="324"/>
      <c r="K694" s="324"/>
      <c r="L694" s="324"/>
      <c r="M694" s="324"/>
      <c r="N694" s="324"/>
      <c r="O694" s="324"/>
      <c r="P694" s="586" t="s">
        <v>2139</v>
      </c>
      <c r="Q694" s="1037"/>
      <c r="R694" s="1037"/>
      <c r="S694" s="1038"/>
      <c r="T694" s="525" t="s">
        <v>1919</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649</v>
      </c>
      <c r="U695" s="525" t="s">
        <v>2416</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824</v>
      </c>
      <c r="U696" s="525" t="s">
        <v>2187</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1084</v>
      </c>
      <c r="U697" s="525" t="s">
        <v>1925</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1085</v>
      </c>
      <c r="U698" s="525" t="s">
        <v>2020</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1475</v>
      </c>
      <c r="U699" s="292" t="s">
        <v>1221</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2324</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1424</v>
      </c>
      <c r="U701" s="525" t="s">
        <v>2257</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2271</v>
      </c>
      <c r="U702" s="525" t="s">
        <v>1931</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2273</v>
      </c>
      <c r="U703" s="525" t="s">
        <v>2183</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2275</v>
      </c>
      <c r="U704" s="525" t="s">
        <v>2416</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1125</v>
      </c>
      <c r="U706" s="525" t="s">
        <v>2194</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1127</v>
      </c>
      <c r="U707" s="525" t="s">
        <v>1102</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2063</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1984</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1986</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1988</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1925</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1325</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2113</v>
      </c>
      <c r="U714" s="525" t="s">
        <v>740</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2140</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840</v>
      </c>
      <c r="U716" s="525" t="s">
        <v>2020</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2141</v>
      </c>
      <c r="U717" s="525" t="s">
        <v>2020</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2142</v>
      </c>
      <c r="U718" s="292" t="s">
        <v>1678</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2347</v>
      </c>
      <c r="U719" s="525" t="s">
        <v>1890</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2348</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2349</v>
      </c>
      <c r="U721" s="525" t="s">
        <v>1680</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2350</v>
      </c>
      <c r="U722" s="525" t="s">
        <v>1114</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2351</v>
      </c>
      <c r="U723" s="525" t="s">
        <v>2412</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2276</v>
      </c>
      <c r="U724" s="525" t="s">
        <v>2188</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1637</v>
      </c>
      <c r="U725" s="525" t="s">
        <v>2414</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1638</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1698</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1086</v>
      </c>
      <c r="U728" s="525" t="s">
        <v>633</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825</v>
      </c>
      <c r="U729" s="525" t="s">
        <v>1964</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1699</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1700</v>
      </c>
      <c r="U731" s="525" t="s">
        <v>2257</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1701</v>
      </c>
      <c r="U732" s="525" t="s">
        <v>1680</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1702</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1703</v>
      </c>
      <c r="U734" s="525" t="s">
        <v>662</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1704</v>
      </c>
      <c r="U735" s="525" t="s">
        <v>961</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1705</v>
      </c>
      <c r="U736" s="525" t="s">
        <v>1217</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1706</v>
      </c>
      <c r="U737" s="525" t="s">
        <v>676</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1087</v>
      </c>
      <c r="U738" s="292" t="s">
        <v>1680</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1707</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1708</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1709</v>
      </c>
      <c r="U741" s="525" t="s">
        <v>1964</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1710</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1711</v>
      </c>
      <c r="U743" s="525" t="s">
        <v>1923</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1712</v>
      </c>
      <c r="U744" s="525" t="s">
        <v>1340</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1713</v>
      </c>
      <c r="U745" s="525" t="s">
        <v>961</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1714</v>
      </c>
      <c r="U746" s="525" t="s">
        <v>740</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1088</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1715</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1716</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1717</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1718</v>
      </c>
      <c r="U751" s="525" t="s">
        <v>2023</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1719</v>
      </c>
      <c r="U752" s="525" t="s">
        <v>1467</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1720</v>
      </c>
      <c r="U753" s="525" t="s">
        <v>1892</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1721</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1722</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2416</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2412</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2024</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1340</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1929</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674</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1325</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1550</v>
      </c>
      <c r="U766" s="403" t="s">
        <v>676</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1089</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1551</v>
      </c>
      <c r="U768" s="403" t="s">
        <v>740</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1552</v>
      </c>
      <c r="U769" s="403" t="s">
        <v>1789</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1553</v>
      </c>
      <c r="U770" s="403" t="s">
        <v>1105</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1090</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1554</v>
      </c>
      <c r="U772" s="403" t="s">
        <v>1324</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1555</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1556</v>
      </c>
      <c r="U774" s="403" t="s">
        <v>1345</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1557</v>
      </c>
      <c r="U775" s="403" t="s">
        <v>1892</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1558</v>
      </c>
      <c r="U776" s="403" t="s">
        <v>2194</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1559</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2396</v>
      </c>
      <c r="U778" s="403" t="s">
        <v>676</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2397</v>
      </c>
      <c r="U779" s="403" t="s">
        <v>662</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2398</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841</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842</v>
      </c>
      <c r="U782" s="403" t="s">
        <v>2020</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843</v>
      </c>
      <c r="U784" s="403" t="s">
        <v>1925</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844</v>
      </c>
      <c r="U785" s="403" t="s">
        <v>1105</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iJeO+5C3y068Ba5oJdP690ME7Je8xrcosh0MuauGub3Lyf1w8gKOCbqoEnfbCJLbaxbtbqQjekzNm6VsXIpOaw==" saltValue="X0PXEvggPAFB3FeIO6cuLg=="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6" zoomScale="130" zoomScaleNormal="130" workbookViewId="0">
      <selection activeCell="A5" sqref="A1:XFD1048576"/>
    </sheetView>
  </sheetViews>
  <sheetFormatPr defaultRowHeight="12.75"/>
  <cols>
    <col min="1" max="1" width="9.42578125" style="683" bestFit="1" customWidth="1"/>
    <col min="2" max="2" width="10.7109375" style="683" bestFit="1" customWidth="1"/>
    <col min="3" max="7" width="9.42578125" style="683" bestFit="1" customWidth="1"/>
    <col min="8" max="8" width="15.140625" style="683" bestFit="1" customWidth="1"/>
    <col min="9" max="9" width="14.85546875" style="683" bestFit="1" customWidth="1"/>
    <col min="10"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5" t="s">
        <v>987</v>
      </c>
    </row>
    <row r="2" spans="1:16" ht="16.5">
      <c r="A2" s="2346" t="str">
        <f>'Part I-Project Information'!F34</f>
        <v>Hillcrest Apartments</v>
      </c>
    </row>
    <row r="3" spans="1:16" ht="16.5">
      <c r="A3" s="2346" t="str">
        <f>CONCATENATE('Part I-Project Information'!F38,", ", 'Part I-Project Information'!J39," County")</f>
        <v>Dublin, Laurens County</v>
      </c>
    </row>
    <row r="5" spans="1:16" ht="12.75" customHeight="1">
      <c r="A5" s="2347" t="str">
        <f>'Project Narrative'!$A$5</f>
        <v xml:space="preserve">(1)Hillcrest, located in Dublin, Georgia is a 1995 HOME tax Credit property consisting of 48 units composed of 20 one-bedrooms, 16 two bedrooms and 12 three bedrooms with family tenancy.  The HOME loan was  based on a unique feature that had payments going into a sinking fund which was to gain interest and eventually pay off the loan.  This feature worked well in the early years when interest rates paid were high but not so well in the last 10 years.  Nonetheless the sinking funds are substantial and significant enough that the balance in the sinking fund is now about 37 percent of the original loan.  The property has been successful from the standpoint of occupancy and providing much needed affordable housing in a good site location and a good market.  The original HOME loan was underwritten at a DCR of 1.10 and there have been some reductions in area median incomes over the life of the loan resulting in reductions in rent.  While the propery has remained stable it has struggled with adequate cash flow and now the property is aging and needs capitalization to enhance its long term viability.  Unit amenities feature a balcony, exterior storage room, ceiling fan and all appliances including a microwave and garbage disposal.
 (2)  This property will have more than $37,000 in rehabe (including contractor services) spent on the rehab and this will include replacement of all major mechanical systems, windows and doors etc as well as repaving the property.  A small addition will be made to the community building to create a community room for services and a computer lab.  Covers will be placed over exising exterior stairs.  It is anticipated that all residents will remain or return to the property after the rehab is complete. 
(3)  The project team is composed of Jerry and Annamarie Braden, who have a combined 78 years experience in affordable housing and government housing programs.  They have developed 44 HOME properties which they own and have  been materially active from the time they were built to the present.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307470447, 310400000,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4522</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2379</v>
      </c>
      <c r="C16" s="2351"/>
      <c r="D16" s="2351"/>
      <c r="E16" s="2351"/>
      <c r="F16" s="2349"/>
      <c r="G16" s="2353" t="s">
        <v>4724</v>
      </c>
      <c r="H16" s="2351"/>
      <c r="I16" s="2351"/>
      <c r="J16" s="2351"/>
      <c r="K16" s="2351"/>
      <c r="L16" s="2349"/>
      <c r="M16" s="2351"/>
      <c r="N16" s="2351"/>
      <c r="O16" s="2351"/>
      <c r="P16" s="2354" t="s">
        <v>3902</v>
      </c>
    </row>
    <row r="17" spans="1:16" ht="14.25" customHeight="1">
      <c r="A17" s="2351"/>
      <c r="B17" s="2355"/>
      <c r="C17" s="2355"/>
      <c r="D17" s="2355"/>
      <c r="E17" s="2355"/>
      <c r="F17" s="2349"/>
      <c r="G17" s="2353" t="s">
        <v>4725</v>
      </c>
      <c r="H17" s="2356"/>
      <c r="I17" s="2356"/>
      <c r="J17" s="2356"/>
      <c r="K17" s="2351"/>
      <c r="L17" s="2351"/>
      <c r="M17" s="2351"/>
      <c r="N17" s="2351"/>
      <c r="O17" s="2348" t="str">
        <f>'Part I-Project Information'!$O$6</f>
        <v>2018-032</v>
      </c>
      <c r="P17" s="2348"/>
    </row>
    <row r="18" spans="1:16">
      <c r="A18" s="2351"/>
      <c r="B18" s="2355"/>
      <c r="C18" s="2355"/>
      <c r="D18" s="2355"/>
      <c r="E18" s="2355"/>
      <c r="F18" s="2348"/>
      <c r="G18" s="2357" t="s">
        <v>3339</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621</v>
      </c>
      <c r="B20" s="2348" t="s">
        <v>2390</v>
      </c>
      <c r="C20" s="2351"/>
      <c r="D20" s="2358"/>
      <c r="E20" s="2356"/>
      <c r="F20" s="2359" t="s">
        <v>3829</v>
      </c>
      <c r="G20" s="2351"/>
      <c r="H20" s="2351"/>
      <c r="I20" s="2360">
        <f>'Part IV-A-Uses of Funds'!$J$175</f>
        <v>295000</v>
      </c>
      <c r="J20" s="2360"/>
      <c r="K20" s="2351"/>
      <c r="L20" s="2351" t="s">
        <v>3830</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747</v>
      </c>
      <c r="B22" s="2348" t="s">
        <v>2055</v>
      </c>
      <c r="C22" s="2351"/>
      <c r="D22" s="2351"/>
      <c r="E22" s="2351"/>
      <c r="F22" s="2363" t="str">
        <f>'Part I-Project Information'!$F$11</f>
        <v>9% Credit Competitive Round only</v>
      </c>
      <c r="G22" s="2363"/>
      <c r="H22" s="2363"/>
      <c r="I22" s="2364" t="s">
        <v>3743</v>
      </c>
      <c r="J22" s="2348" t="s">
        <v>4726</v>
      </c>
      <c r="K22" s="2348"/>
      <c r="L22" s="2356"/>
      <c r="M22" s="2351"/>
      <c r="N22" s="2351"/>
      <c r="O22" s="2351" t="str">
        <f>'Part I-Project Information'!$O$11</f>
        <v>2018PA-017</v>
      </c>
      <c r="P22" s="2351"/>
    </row>
    <row r="23" spans="1:16" ht="13.5" customHeight="1">
      <c r="A23" s="2349"/>
      <c r="B23" s="2365" t="s">
        <v>4523</v>
      </c>
      <c r="C23" s="2365"/>
      <c r="D23" s="2365"/>
      <c r="E23" s="2351"/>
      <c r="F23" s="2351"/>
      <c r="G23" s="2351"/>
      <c r="H23" s="2356"/>
      <c r="I23" s="2351"/>
      <c r="J23" s="2359" t="s">
        <v>2750</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3827</v>
      </c>
      <c r="K25" s="2351"/>
      <c r="L25" s="2351"/>
      <c r="M25" s="2351"/>
      <c r="N25" s="2351"/>
      <c r="O25" s="2351"/>
      <c r="P25" s="2351"/>
    </row>
    <row r="26" spans="1:16">
      <c r="A26" s="2349"/>
      <c r="B26" s="2351" t="s">
        <v>3903</v>
      </c>
      <c r="C26" s="2351"/>
      <c r="D26" s="2348"/>
      <c r="E26" s="2351"/>
      <c r="F26" s="2367" t="str">
        <f>'Part I-Project Information'!$F$15</f>
        <v>NA</v>
      </c>
      <c r="G26" s="2367"/>
      <c r="H26" s="2367"/>
      <c r="I26" s="2367"/>
      <c r="J26" s="2367"/>
      <c r="K26" s="2367"/>
      <c r="L26" s="2351" t="s">
        <v>3826</v>
      </c>
      <c r="M26" s="2351"/>
      <c r="N26" s="2351"/>
      <c r="O26" s="2351" t="str">
        <f>'Part I-Project Information'!$O$15</f>
        <v>2017-062</v>
      </c>
      <c r="P26" s="2351"/>
    </row>
    <row r="27" spans="1:16">
      <c r="A27" s="2349"/>
      <c r="B27" s="2351" t="s">
        <v>3828</v>
      </c>
      <c r="C27" s="2351"/>
      <c r="D27" s="2351"/>
      <c r="E27" s="2351"/>
      <c r="F27" s="2366" t="str">
        <f>'Part I-Project Information'!F16</f>
        <v>No</v>
      </c>
      <c r="G27" s="2351" t="s">
        <v>3885</v>
      </c>
      <c r="H27" s="2356"/>
      <c r="I27" s="2357"/>
      <c r="J27" s="2359"/>
      <c r="K27" s="2351"/>
      <c r="L27" s="2351"/>
      <c r="M27" s="2368" t="str">
        <f>'Part I-Project Information'!M16</f>
        <v>Qualified w/out Conditions</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749</v>
      </c>
      <c r="B29" s="2348" t="s">
        <v>1484</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3914</v>
      </c>
      <c r="C31" s="2351"/>
      <c r="D31" s="2351"/>
      <c r="E31" s="2351"/>
      <c r="F31" s="2351" t="str">
        <f>'Part I-Project Information'!F20</f>
        <v>Braden Development</v>
      </c>
      <c r="G31" s="2351">
        <f>'Part I-Project Information'!G20</f>
        <v>0</v>
      </c>
      <c r="H31" s="2351">
        <f>'Part I-Project Information'!H20</f>
        <v>0</v>
      </c>
      <c r="I31" s="2351" t="s">
        <v>1809</v>
      </c>
      <c r="J31" s="2351" t="str">
        <f>'Part I-Project Information'!J20</f>
        <v>Jerry W. Braden</v>
      </c>
      <c r="K31" s="2351">
        <f>'Part I-Project Information'!K20</f>
        <v>0</v>
      </c>
      <c r="L31" s="2351">
        <f>'Part I-Project Information'!L20</f>
        <v>0</v>
      </c>
      <c r="M31" s="2359" t="s">
        <v>1995</v>
      </c>
      <c r="N31" s="2351" t="str">
        <f>'Part I-Project Information'!N20</f>
        <v>Member</v>
      </c>
      <c r="O31" s="2351">
        <f>'Part I-Project Information'!O20</f>
        <v>0</v>
      </c>
      <c r="P31" s="2351">
        <f>'Part I-Project Information'!P20</f>
        <v>0</v>
      </c>
    </row>
    <row r="32" spans="1:16" ht="12.75" customHeight="1">
      <c r="A32" s="2351"/>
      <c r="B32" s="2359" t="s">
        <v>1996</v>
      </c>
      <c r="C32" s="2351"/>
      <c r="D32" s="2351"/>
      <c r="E32" s="2351"/>
      <c r="F32" s="2351" t="str">
        <f>'Part I-Project Information'!F21</f>
        <v>P.O. Box 447</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3913</v>
      </c>
      <c r="N32" s="2369"/>
      <c r="O32" s="2369"/>
      <c r="P32" s="2369"/>
    </row>
    <row r="33" spans="1:16" ht="12.75" customHeight="1">
      <c r="A33" s="2351"/>
      <c r="B33" s="2359" t="s">
        <v>623</v>
      </c>
      <c r="C33" s="2351"/>
      <c r="D33" s="2351"/>
      <c r="E33" s="2351"/>
      <c r="F33" s="2351" t="str">
        <f>'Part I-Project Information'!F22</f>
        <v>Summerville</v>
      </c>
      <c r="G33" s="2351">
        <f>'Part I-Project Information'!G22</f>
        <v>0</v>
      </c>
      <c r="H33" s="2351">
        <f>'Part I-Project Information'!H22</f>
        <v>0</v>
      </c>
      <c r="I33" s="2359" t="s">
        <v>1811</v>
      </c>
      <c r="J33" s="2370" t="str">
        <f>'Part I-Project Information'!J22</f>
        <v>GA</v>
      </c>
      <c r="K33" s="2351"/>
      <c r="L33" s="2351"/>
      <c r="M33" s="2369"/>
      <c r="N33" s="2369"/>
      <c r="O33" s="2369"/>
      <c r="P33" s="2369"/>
    </row>
    <row r="34" spans="1:16">
      <c r="A34" s="2351"/>
      <c r="B34" s="2359" t="s">
        <v>2244</v>
      </c>
      <c r="C34" s="2351"/>
      <c r="D34" s="2351"/>
      <c r="E34" s="2351"/>
      <c r="F34" s="2371">
        <f>'Part I-Project Information'!F23</f>
        <v>307470447</v>
      </c>
      <c r="G34" s="2371">
        <f>'Part I-Project Information'!G23</f>
        <v>0</v>
      </c>
      <c r="H34" s="2371">
        <f>'Part I-Project Information'!H23</f>
        <v>0</v>
      </c>
      <c r="I34" s="2359" t="s">
        <v>1732</v>
      </c>
      <c r="J34" s="2372">
        <f>'Part I-Project Information'!J23</f>
        <v>7068571414</v>
      </c>
      <c r="K34" s="2372">
        <f>'Part I-Project Information'!K23</f>
        <v>0</v>
      </c>
      <c r="L34" s="2356" t="s">
        <v>1731</v>
      </c>
      <c r="M34" s="2356">
        <f>'Part I-Project Information'!M23</f>
        <v>0</v>
      </c>
      <c r="N34" s="2359" t="s">
        <v>1733</v>
      </c>
      <c r="O34" s="2372">
        <f>'Part I-Project Information'!O23</f>
        <v>7068571414</v>
      </c>
      <c r="P34" s="2372">
        <f>'Part I-Project Information'!P23</f>
        <v>0</v>
      </c>
    </row>
    <row r="35" spans="1:16">
      <c r="A35" s="2351"/>
      <c r="B35" s="2359" t="s">
        <v>1999</v>
      </c>
      <c r="C35" s="2351"/>
      <c r="D35" s="2351"/>
      <c r="E35" s="2351"/>
      <c r="F35" s="2351" t="str">
        <f>'Part I-Project Information'!F24</f>
        <v>jerry@thebradengroup.com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1994</v>
      </c>
      <c r="O35" s="2372">
        <f>'Part I-Project Information'!O24</f>
        <v>7067661095</v>
      </c>
      <c r="P35" s="2372">
        <f>'Part I-Project Information'!P24</f>
        <v>0</v>
      </c>
    </row>
    <row r="36" spans="1:16">
      <c r="A36" s="2349"/>
      <c r="B36" s="2348" t="s">
        <v>4116</v>
      </c>
      <c r="C36" s="2358"/>
      <c r="D36" s="2351"/>
      <c r="E36" s="2351"/>
      <c r="F36" s="2351"/>
      <c r="G36" s="2351"/>
      <c r="H36" s="2356"/>
      <c r="I36" s="2351"/>
      <c r="J36" s="2358"/>
      <c r="K36" s="2351"/>
      <c r="L36" s="2351"/>
      <c r="M36" s="2351"/>
      <c r="N36" s="2351"/>
      <c r="O36" s="2351"/>
      <c r="P36" s="2373"/>
    </row>
    <row r="37" spans="1:16">
      <c r="A37" s="2351"/>
      <c r="B37" s="2351" t="s">
        <v>3914</v>
      </c>
      <c r="C37" s="2351"/>
      <c r="D37" s="2351"/>
      <c r="E37" s="2351"/>
      <c r="F37" s="2351">
        <f>'Part I-Project Information'!F26</f>
        <v>0</v>
      </c>
      <c r="G37" s="2351">
        <f>'Part I-Project Information'!G26</f>
        <v>0</v>
      </c>
      <c r="H37" s="2351">
        <f>'Part I-Project Information'!H26</f>
        <v>0</v>
      </c>
      <c r="I37" s="2351" t="s">
        <v>1809</v>
      </c>
      <c r="J37" s="2351">
        <f>'Part I-Project Information'!J26</f>
        <v>0</v>
      </c>
      <c r="K37" s="2351">
        <f>'Part I-Project Information'!K26</f>
        <v>0</v>
      </c>
      <c r="L37" s="2351">
        <f>'Part I-Project Information'!L26</f>
        <v>0</v>
      </c>
      <c r="M37" s="2359" t="s">
        <v>1995</v>
      </c>
      <c r="N37" s="2351">
        <f>'Part I-Project Information'!N26</f>
        <v>0</v>
      </c>
      <c r="O37" s="2351">
        <f>'Part I-Project Information'!O26</f>
        <v>0</v>
      </c>
      <c r="P37" s="2351">
        <f>'Part I-Project Information'!P26</f>
        <v>0</v>
      </c>
    </row>
    <row r="38" spans="1:16" ht="12.75" customHeight="1">
      <c r="A38" s="2351"/>
      <c r="B38" s="2359" t="s">
        <v>1996</v>
      </c>
      <c r="C38" s="2351"/>
      <c r="D38" s="2351"/>
      <c r="E38" s="2351"/>
      <c r="F38" s="2351">
        <f>'Part I-Project Information'!F27</f>
        <v>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3913</v>
      </c>
      <c r="N38" s="2369"/>
      <c r="O38" s="2369"/>
      <c r="P38" s="2369"/>
    </row>
    <row r="39" spans="1:16" ht="12.75" customHeight="1">
      <c r="A39" s="2351"/>
      <c r="B39" s="2359" t="s">
        <v>623</v>
      </c>
      <c r="C39" s="2351"/>
      <c r="D39" s="2351"/>
      <c r="E39" s="2351"/>
      <c r="F39" s="2351">
        <f>'Part I-Project Information'!F28</f>
        <v>0</v>
      </c>
      <c r="G39" s="2351">
        <f>'Part I-Project Information'!G28</f>
        <v>0</v>
      </c>
      <c r="H39" s="2351">
        <f>'Part I-Project Information'!H28</f>
        <v>0</v>
      </c>
      <c r="I39" s="2359" t="s">
        <v>1811</v>
      </c>
      <c r="J39" s="2370">
        <f>'Part I-Project Information'!J28</f>
        <v>0</v>
      </c>
      <c r="K39" s="2351"/>
      <c r="L39" s="2351"/>
      <c r="M39" s="2369"/>
      <c r="N39" s="2369"/>
      <c r="O39" s="2369"/>
      <c r="P39" s="2369"/>
    </row>
    <row r="40" spans="1:16">
      <c r="A40" s="2351"/>
      <c r="B40" s="2359" t="s">
        <v>2244</v>
      </c>
      <c r="C40" s="2351"/>
      <c r="D40" s="2351"/>
      <c r="E40" s="2351"/>
      <c r="F40" s="2371">
        <f>'Part I-Project Information'!F29</f>
        <v>0</v>
      </c>
      <c r="G40" s="2371">
        <f>'Part I-Project Information'!G29</f>
        <v>0</v>
      </c>
      <c r="H40" s="2371">
        <f>'Part I-Project Information'!H29</f>
        <v>0</v>
      </c>
      <c r="I40" s="2359" t="s">
        <v>1732</v>
      </c>
      <c r="J40" s="2372">
        <f>'Part I-Project Information'!J29</f>
        <v>0</v>
      </c>
      <c r="K40" s="2372">
        <f>'Part I-Project Information'!K29</f>
        <v>0</v>
      </c>
      <c r="L40" s="2356" t="s">
        <v>1731</v>
      </c>
      <c r="M40" s="2356">
        <f>'Part I-Project Information'!M29</f>
        <v>0</v>
      </c>
      <c r="N40" s="2359" t="s">
        <v>1733</v>
      </c>
      <c r="O40" s="2372">
        <f>'Part I-Project Information'!O29</f>
        <v>0</v>
      </c>
      <c r="P40" s="2372">
        <f>'Part I-Project Information'!P29</f>
        <v>0</v>
      </c>
    </row>
    <row r="41" spans="1:16">
      <c r="A41" s="2351"/>
      <c r="B41" s="2359" t="s">
        <v>1999</v>
      </c>
      <c r="C41" s="2351"/>
      <c r="D41" s="2351"/>
      <c r="E41" s="2351"/>
      <c r="F41" s="2351">
        <f>'Part I-Project Information'!F30</f>
        <v>0</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1994</v>
      </c>
      <c r="O41" s="2372">
        <f>'Part I-Project Information'!O30</f>
        <v>0</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1804</v>
      </c>
      <c r="B43" s="2348" t="s">
        <v>1485</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622</v>
      </c>
      <c r="C45" s="2351"/>
      <c r="D45" s="2348"/>
      <c r="E45" s="2351"/>
      <c r="F45" s="2367" t="str">
        <f>'Part I-Project Information'!F34</f>
        <v>Hillcrest Apartments</v>
      </c>
      <c r="G45" s="2367">
        <f>'Part I-Project Information'!G34</f>
        <v>0</v>
      </c>
      <c r="H45" s="2367">
        <f>'Part I-Project Information'!H34</f>
        <v>0</v>
      </c>
      <c r="I45" s="2367">
        <f>'Part I-Project Information'!I34</f>
        <v>0</v>
      </c>
      <c r="J45" s="2367">
        <f>'Part I-Project Information'!J34</f>
        <v>0</v>
      </c>
      <c r="K45" s="2367">
        <f>'Part I-Project Information'!K34</f>
        <v>0</v>
      </c>
      <c r="L45" s="2359" t="s">
        <v>2207</v>
      </c>
      <c r="M45" s="2351"/>
      <c r="N45" s="2351"/>
      <c r="O45" s="2351" t="str">
        <f>'Part I-Project Information'!O34</f>
        <v>No</v>
      </c>
      <c r="P45" s="2351">
        <f>'Part I-Project Information'!P34</f>
        <v>0</v>
      </c>
    </row>
    <row r="46" spans="1:16">
      <c r="A46" s="2354"/>
      <c r="B46" s="2351" t="s">
        <v>2715</v>
      </c>
      <c r="C46" s="2351"/>
      <c r="D46" s="2362"/>
      <c r="E46" s="2351"/>
      <c r="F46" s="2351" t="str">
        <f>'Part I-Project Information'!F35</f>
        <v>208 Hillcrest Drive</v>
      </c>
      <c r="G46" s="2351">
        <f>'Part I-Project Information'!G35</f>
        <v>0</v>
      </c>
      <c r="H46" s="2351">
        <f>'Part I-Project Information'!H35</f>
        <v>0</v>
      </c>
      <c r="I46" s="2351">
        <f>'Part I-Project Information'!I35</f>
        <v>0</v>
      </c>
      <c r="J46" s="2351">
        <f>'Part I-Project Information'!J35</f>
        <v>0</v>
      </c>
      <c r="K46" s="2351">
        <f>'Part I-Project Information'!K35</f>
        <v>0</v>
      </c>
      <c r="L46" s="2351" t="s">
        <v>3709</v>
      </c>
      <c r="M46" s="2351"/>
      <c r="N46" s="2351"/>
      <c r="O46" s="2351">
        <f>'Part I-Project Information'!O35</f>
        <v>0</v>
      </c>
      <c r="P46" s="2351">
        <f>'Part I-Project Information'!P35</f>
        <v>0</v>
      </c>
    </row>
    <row r="47" spans="1:16">
      <c r="A47" s="2354"/>
      <c r="B47" s="2351" t="s">
        <v>4727</v>
      </c>
      <c r="C47" s="2351"/>
      <c r="D47" s="2362"/>
      <c r="E47" s="2351"/>
      <c r="F47" s="2351" t="str">
        <f>'Part I-Project Information'!F36</f>
        <v>204 Hillcrest Drive</v>
      </c>
      <c r="G47" s="2351">
        <f>'Part I-Project Information'!G36</f>
        <v>0</v>
      </c>
      <c r="H47" s="2351">
        <f>'Part I-Project Information'!H36</f>
        <v>0</v>
      </c>
      <c r="I47" s="2351">
        <f>'Part I-Project Information'!I36</f>
        <v>0</v>
      </c>
      <c r="J47" s="2351">
        <f>'Part I-Project Information'!J36</f>
        <v>0</v>
      </c>
      <c r="K47" s="2351">
        <f>'Part I-Project Information'!K36</f>
        <v>0</v>
      </c>
      <c r="L47" s="2359" t="s">
        <v>2065</v>
      </c>
      <c r="M47" s="2351"/>
      <c r="N47" s="2356" t="str">
        <f>'Part I-Project Information'!N36</f>
        <v>No</v>
      </c>
      <c r="O47" s="2356" t="s">
        <v>3708</v>
      </c>
      <c r="P47" s="2356">
        <f>'Part I-Project Information'!P36</f>
        <v>0</v>
      </c>
    </row>
    <row r="48" spans="1:16">
      <c r="A48" s="2354"/>
      <c r="B48" s="2351" t="s">
        <v>3765</v>
      </c>
      <c r="C48" s="2351"/>
      <c r="D48" s="2362"/>
      <c r="E48" s="2351"/>
      <c r="F48" s="2351" t="s">
        <v>3745</v>
      </c>
      <c r="G48" s="2374">
        <f>'Part I-Project Information'!G37</f>
        <v>32.548544</v>
      </c>
      <c r="H48" s="2374">
        <f>'Part I-Project Information'!H37</f>
        <v>0</v>
      </c>
      <c r="I48" s="2356" t="s">
        <v>3746</v>
      </c>
      <c r="J48" s="2374">
        <f>'Part I-Project Information'!J37</f>
        <v>-82.916460000000001</v>
      </c>
      <c r="K48" s="2374">
        <f>'Part I-Project Information'!K37</f>
        <v>0</v>
      </c>
      <c r="L48" s="2359" t="s">
        <v>2298</v>
      </c>
      <c r="M48" s="2351"/>
      <c r="N48" s="2351"/>
      <c r="O48" s="2375">
        <f>'Part I-Project Information'!O37</f>
        <v>4.79</v>
      </c>
      <c r="P48" s="2375">
        <f>'Part I-Project Information'!P37</f>
        <v>0</v>
      </c>
    </row>
    <row r="49" spans="1:16" ht="16.5">
      <c r="A49" s="2349"/>
      <c r="B49" s="2351" t="s">
        <v>623</v>
      </c>
      <c r="C49" s="2351"/>
      <c r="D49" s="2351"/>
      <c r="E49" s="2351"/>
      <c r="F49" s="2351" t="str">
        <f>'Part I-Project Information'!F38</f>
        <v>Dublin</v>
      </c>
      <c r="G49" s="2351">
        <f>'Part I-Project Information'!G38</f>
        <v>0</v>
      </c>
      <c r="H49" s="2351">
        <f>'Part I-Project Information'!H38</f>
        <v>0</v>
      </c>
      <c r="I49" s="2376" t="s">
        <v>4728</v>
      </c>
      <c r="J49" s="2371">
        <f>'Part I-Project Information'!J38</f>
        <v>310210000</v>
      </c>
      <c r="K49" s="2371">
        <f>'Part I-Project Information'!K38</f>
        <v>0</v>
      </c>
      <c r="L49" s="2348" t="str">
        <f>IF(AND(NOT(F45=""),NOT(F49="Select from list"),J49=""),"Enter Zip!","")</f>
        <v/>
      </c>
      <c r="M49" s="2377" t="s">
        <v>2925</v>
      </c>
      <c r="N49" s="2351"/>
      <c r="O49" s="2378" t="str">
        <f>'Part I-Project Information'!O38</f>
        <v>9504</v>
      </c>
      <c r="P49" s="2379">
        <f>'Part I-Project Information'!P38</f>
        <v>0</v>
      </c>
    </row>
    <row r="50" spans="1:16">
      <c r="A50" s="2349"/>
      <c r="B50" s="2351" t="s">
        <v>3591</v>
      </c>
      <c r="C50" s="2351"/>
      <c r="D50" s="2351"/>
      <c r="E50" s="2351"/>
      <c r="F50" s="2351" t="str">
        <f>'Part I-Project Information'!F39</f>
        <v>Within City Limits</v>
      </c>
      <c r="G50" s="2351">
        <f>'Part I-Project Information'!G39</f>
        <v>0</v>
      </c>
      <c r="H50" s="2351">
        <f>'Part I-Project Information'!H39</f>
        <v>0</v>
      </c>
      <c r="I50" s="2380" t="s">
        <v>624</v>
      </c>
      <c r="J50" s="2367" t="str">
        <f>'Part I-Project Information'!J39</f>
        <v>Laurens</v>
      </c>
      <c r="K50" s="2367">
        <f>'Part I-Project Information'!K39</f>
        <v>0</v>
      </c>
      <c r="L50" s="2351"/>
      <c r="M50" s="2359" t="s">
        <v>455</v>
      </c>
      <c r="N50" s="2381" t="str">
        <f>'Part I-Project Information'!N39</f>
        <v>Yes</v>
      </c>
      <c r="O50" s="2356" t="s">
        <v>456</v>
      </c>
      <c r="P50" s="2381" t="str">
        <f>'Part I-Project Information'!P39</f>
        <v>No</v>
      </c>
    </row>
    <row r="51" spans="1:16">
      <c r="A51" s="2349"/>
      <c r="B51" s="2348"/>
      <c r="C51" s="2351" t="s">
        <v>1569</v>
      </c>
      <c r="D51" s="2351"/>
      <c r="E51" s="2351"/>
      <c r="F51" s="2359" t="str">
        <f>'Part I-Project Information'!F40</f>
        <v>Yes</v>
      </c>
      <c r="G51" s="2351" t="s">
        <v>2798</v>
      </c>
      <c r="H51" s="2351"/>
      <c r="I51" s="2356" t="str">
        <f>'Part I-Project Information'!I40</f>
        <v>Yes</v>
      </c>
      <c r="J51" s="2356" t="s">
        <v>2818</v>
      </c>
      <c r="K51" s="2356" t="str">
        <f>'Part I-Project Information'!K40</f>
        <v>Rural</v>
      </c>
      <c r="L51" s="2351"/>
      <c r="M51" s="2359" t="s">
        <v>2627</v>
      </c>
      <c r="N51" s="2349" t="str">
        <f>'Part I-Project Information'!N40</f>
        <v>Non-MSA</v>
      </c>
      <c r="O51" s="2351" t="str">
        <f>'Part I-Project Information'!O40</f>
        <v>Laurens Co.</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4729</v>
      </c>
      <c r="D53" s="2351"/>
      <c r="E53" s="2351"/>
      <c r="F53" s="2382" t="s">
        <v>2779</v>
      </c>
      <c r="G53" s="2382"/>
      <c r="H53" s="2351" t="s">
        <v>743</v>
      </c>
      <c r="I53" s="2351"/>
      <c r="J53" s="2351" t="s">
        <v>744</v>
      </c>
      <c r="K53" s="2351"/>
      <c r="L53" s="2383" t="s">
        <v>4545</v>
      </c>
      <c r="M53" s="2351"/>
      <c r="N53" s="2351"/>
      <c r="O53" s="2351"/>
      <c r="P53" s="2351"/>
    </row>
    <row r="54" spans="1:16">
      <c r="A54" s="2349"/>
      <c r="B54" s="2351" t="s">
        <v>4730</v>
      </c>
      <c r="C54" s="2351"/>
      <c r="D54" s="2348"/>
      <c r="E54" s="2351"/>
      <c r="F54" s="2384">
        <f>'Part I-Project Information'!F43</f>
        <v>12</v>
      </c>
      <c r="G54" s="2384">
        <f>'Part I-Project Information'!G43</f>
        <v>0</v>
      </c>
      <c r="H54" s="2384">
        <f>'Part I-Project Information'!H43</f>
        <v>20</v>
      </c>
      <c r="I54" s="2384">
        <f>'Part I-Project Information'!I43</f>
        <v>0</v>
      </c>
      <c r="J54" s="2384">
        <f>'Part I-Project Information'!J43</f>
        <v>150</v>
      </c>
      <c r="K54" s="2384">
        <f>'Part I-Project Information'!K43</f>
        <v>0</v>
      </c>
      <c r="L54" s="2357" t="s">
        <v>1294</v>
      </c>
      <c r="M54" s="2351"/>
      <c r="N54" s="2385" t="s">
        <v>1295</v>
      </c>
      <c r="O54" s="2385"/>
      <c r="P54" s="2385"/>
    </row>
    <row r="55" spans="1:16">
      <c r="A55" s="2349"/>
      <c r="B55" s="2359" t="s">
        <v>745</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2777</v>
      </c>
      <c r="M55" s="2351"/>
      <c r="N55" s="2386" t="s">
        <v>2776</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642</v>
      </c>
      <c r="C57" s="2351"/>
      <c r="D57" s="2351"/>
      <c r="E57" s="2351"/>
      <c r="F57" s="2387" t="str">
        <f>'Part I-Project Information'!F46</f>
        <v>City of Dublin</v>
      </c>
      <c r="G57" s="2387">
        <f>'Part I-Project Information'!G46</f>
        <v>0</v>
      </c>
      <c r="H57" s="2387">
        <f>'Part I-Project Information'!H46</f>
        <v>0</v>
      </c>
      <c r="I57" s="2387">
        <f>'Part I-Project Information'!I46</f>
        <v>0</v>
      </c>
      <c r="J57" s="2387">
        <f>'Part I-Project Information'!J46</f>
        <v>0</v>
      </c>
      <c r="K57" s="2387">
        <f>'Part I-Project Information'!K46</f>
        <v>0</v>
      </c>
      <c r="L57" s="2388" t="s">
        <v>2721</v>
      </c>
      <c r="M57" s="2351" t="str">
        <f>'Part I-Project Information'!M46</f>
        <v>http:cityofdublin</v>
      </c>
      <c r="N57" s="2351">
        <f>'Part I-Project Information'!N46</f>
        <v>0</v>
      </c>
      <c r="O57" s="2351">
        <f>'Part I-Project Information'!O46</f>
        <v>0</v>
      </c>
      <c r="P57" s="2351">
        <f>'Part I-Project Information'!P46</f>
        <v>0</v>
      </c>
    </row>
    <row r="58" spans="1:16">
      <c r="A58" s="2349"/>
      <c r="B58" s="2351" t="s">
        <v>643</v>
      </c>
      <c r="C58" s="2351"/>
      <c r="D58" s="2351"/>
      <c r="E58" s="2351"/>
      <c r="F58" s="2387" t="str">
        <f>'Part I-Project Information'!F47</f>
        <v>Phil Best</v>
      </c>
      <c r="G58" s="2387">
        <f>'Part I-Project Information'!G47</f>
        <v>0</v>
      </c>
      <c r="H58" s="2387">
        <f>'Part I-Project Information'!H47</f>
        <v>0</v>
      </c>
      <c r="I58" s="2356" t="s">
        <v>1995</v>
      </c>
      <c r="J58" s="2351" t="str">
        <f>'Part I-Project Information'!J47</f>
        <v>Mayor</v>
      </c>
      <c r="K58" s="2351">
        <f>'Part I-Project Information'!K47</f>
        <v>0</v>
      </c>
      <c r="L58" s="2388"/>
      <c r="M58" s="2351"/>
      <c r="N58" s="2351"/>
      <c r="O58" s="2351"/>
      <c r="P58" s="2351"/>
    </row>
    <row r="59" spans="1:16">
      <c r="A59" s="2349"/>
      <c r="B59" s="2351" t="s">
        <v>1996</v>
      </c>
      <c r="C59" s="2351"/>
      <c r="D59" s="2351"/>
      <c r="E59" s="2351"/>
      <c r="F59" s="2387" t="str">
        <f>'Part I-Project Information'!F48</f>
        <v>P.O. Box 690</v>
      </c>
      <c r="G59" s="2387">
        <f>'Part I-Project Information'!G48</f>
        <v>0</v>
      </c>
      <c r="H59" s="2387">
        <f>'Part I-Project Information'!H48</f>
        <v>0</v>
      </c>
      <c r="I59" s="2387">
        <f>'Part I-Project Information'!I48</f>
        <v>0</v>
      </c>
      <c r="J59" s="2387">
        <f>'Part I-Project Information'!J48</f>
        <v>0</v>
      </c>
      <c r="K59" s="2387">
        <f>'Part I-Project Information'!K48</f>
        <v>0</v>
      </c>
      <c r="L59" s="2359" t="s">
        <v>623</v>
      </c>
      <c r="M59" s="2387" t="str">
        <f>'Part I-Project Information'!M48</f>
        <v>Dublin</v>
      </c>
      <c r="N59" s="2387">
        <f>'Part I-Project Information'!N48</f>
        <v>0</v>
      </c>
      <c r="O59" s="2387">
        <f>'Part I-Project Information'!O48</f>
        <v>0</v>
      </c>
      <c r="P59" s="2387">
        <f>'Part I-Project Information'!P48</f>
        <v>0</v>
      </c>
    </row>
    <row r="60" spans="1:16">
      <c r="A60" s="2349"/>
      <c r="B60" s="2359" t="s">
        <v>2244</v>
      </c>
      <c r="C60" s="2351"/>
      <c r="D60" s="2351"/>
      <c r="E60" s="2351"/>
      <c r="F60" s="2371">
        <f>'Part I-Project Information'!F49</f>
        <v>310400000</v>
      </c>
      <c r="G60" s="2371">
        <f>'Part I-Project Information'!G49</f>
        <v>0</v>
      </c>
      <c r="H60" s="2356" t="s">
        <v>1997</v>
      </c>
      <c r="I60" s="2372">
        <f>'Part I-Project Information'!I49</f>
        <v>4782731620</v>
      </c>
      <c r="J60" s="2372">
        <f>'Part I-Project Information'!J49</f>
        <v>0</v>
      </c>
      <c r="K60" s="2372">
        <f>'Part I-Project Information'!K49</f>
        <v>0</v>
      </c>
      <c r="L60" s="2359" t="s">
        <v>1812</v>
      </c>
      <c r="M60" s="2387">
        <f>'Part I-Project Information'!M49</f>
        <v>0</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1806</v>
      </c>
      <c r="B63" s="2348" t="s">
        <v>1486</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1998</v>
      </c>
      <c r="C65" s="2348" t="s">
        <v>4731</v>
      </c>
      <c r="D65" s="2351"/>
      <c r="E65" s="2351"/>
      <c r="F65" s="2351"/>
      <c r="G65" s="2351"/>
      <c r="H65" s="2351"/>
      <c r="I65" s="2351"/>
      <c r="J65" s="2351"/>
      <c r="K65" s="2357"/>
      <c r="L65" s="2351"/>
      <c r="M65" s="2385"/>
      <c r="N65" s="2385"/>
      <c r="O65" s="2385"/>
      <c r="P65" s="2385"/>
    </row>
    <row r="66" spans="1:16" ht="13.5">
      <c r="A66" s="2358"/>
      <c r="B66" s="2349"/>
      <c r="C66" s="2351" t="s">
        <v>2310</v>
      </c>
      <c r="D66" s="2351"/>
      <c r="E66" s="2351"/>
      <c r="F66" s="2358"/>
      <c r="G66" s="2358"/>
      <c r="H66" s="2391">
        <f>'Part VI-Revenues &amp; Expenses'!$O$74</f>
        <v>0</v>
      </c>
      <c r="I66" s="2358"/>
      <c r="J66" s="2358"/>
      <c r="K66" s="2359" t="s">
        <v>3700</v>
      </c>
      <c r="L66" s="2351"/>
      <c r="M66" s="2392" t="s">
        <v>3699</v>
      </c>
      <c r="N66" s="2391">
        <f>'Part VI-Revenues &amp; Expenses'!$O$81</f>
        <v>0</v>
      </c>
      <c r="O66" s="2393" t="s">
        <v>3378</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48</v>
      </c>
      <c r="I68" s="2395" t="s">
        <v>2930</v>
      </c>
      <c r="J68" s="2351"/>
      <c r="K68" s="2351" t="s">
        <v>350</v>
      </c>
      <c r="L68" s="2351"/>
      <c r="M68" s="2351"/>
      <c r="N68" s="2351"/>
      <c r="O68" s="2351"/>
      <c r="P68" s="2396">
        <f>'Part I-Project Information'!P57</f>
        <v>35065</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2000</v>
      </c>
      <c r="C70" s="2348" t="s">
        <v>2311</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756</v>
      </c>
      <c r="C72" s="2348" t="s">
        <v>2291</v>
      </c>
      <c r="D72" s="2351"/>
      <c r="E72" s="2351"/>
      <c r="F72" s="2351"/>
      <c r="G72" s="2351"/>
      <c r="H72" s="2351"/>
      <c r="I72" s="2398" t="s">
        <v>3587</v>
      </c>
      <c r="J72" s="2354" t="s">
        <v>2130</v>
      </c>
      <c r="K72" s="2399" t="s">
        <v>2317</v>
      </c>
      <c r="L72" s="2351"/>
      <c r="M72" s="2351"/>
      <c r="N72" s="2351"/>
      <c r="O72" s="2351"/>
      <c r="P72" s="2356"/>
    </row>
    <row r="73" spans="1:16">
      <c r="A73" s="2349"/>
      <c r="B73" s="2370"/>
      <c r="C73" s="2358" t="s">
        <v>2292</v>
      </c>
      <c r="D73" s="2351"/>
      <c r="E73" s="2351"/>
      <c r="F73" s="2351"/>
      <c r="G73" s="2351"/>
      <c r="H73" s="2400">
        <f>SUM(H74:H75)</f>
        <v>48</v>
      </c>
      <c r="I73" s="2400">
        <f>SUM(I74:I75)</f>
        <v>0</v>
      </c>
      <c r="J73" s="2349"/>
      <c r="K73" s="2358" t="s">
        <v>2790</v>
      </c>
      <c r="L73" s="2351"/>
      <c r="M73" s="2351"/>
      <c r="N73" s="2351"/>
      <c r="O73" s="2351"/>
      <c r="P73" s="2400">
        <f>'Part VI-Revenues &amp; Expenses'!$O$115</f>
        <v>39285</v>
      </c>
    </row>
    <row r="74" spans="1:16">
      <c r="A74" s="2349"/>
      <c r="B74" s="2358"/>
      <c r="C74" s="2351"/>
      <c r="D74" s="2382" t="s">
        <v>387</v>
      </c>
      <c r="E74" s="2351"/>
      <c r="F74" s="2351"/>
      <c r="G74" s="2351"/>
      <c r="H74" s="2400">
        <f>'Part VI-Revenues &amp; Expenses'!$O$57</f>
        <v>8</v>
      </c>
      <c r="I74" s="2400">
        <f>'Part VI-Revenues &amp; Expenses'!$O$65</f>
        <v>0</v>
      </c>
      <c r="J74" s="2351"/>
      <c r="K74" s="2358" t="s">
        <v>2791</v>
      </c>
      <c r="L74" s="2351"/>
      <c r="M74" s="2351"/>
      <c r="N74" s="2351"/>
      <c r="O74" s="2351"/>
      <c r="P74" s="2400">
        <f>'Part VI-Revenues &amp; Expenses'!$O$116</f>
        <v>0</v>
      </c>
    </row>
    <row r="75" spans="1:16">
      <c r="A75" s="2349"/>
      <c r="B75" s="2351"/>
      <c r="C75" s="2351"/>
      <c r="D75" s="2382" t="s">
        <v>1834</v>
      </c>
      <c r="E75" s="2382"/>
      <c r="F75" s="2351"/>
      <c r="G75" s="2351"/>
      <c r="H75" s="2400">
        <f>'Part VI-Revenues &amp; Expenses'!$O$56</f>
        <v>40</v>
      </c>
      <c r="I75" s="2400">
        <f>'Part VI-Revenues &amp; Expenses'!$O$64</f>
        <v>0</v>
      </c>
      <c r="J75" s="2351"/>
      <c r="K75" s="2358" t="s">
        <v>2792</v>
      </c>
      <c r="L75" s="2351"/>
      <c r="M75" s="2351"/>
      <c r="N75" s="2351"/>
      <c r="O75" s="2351"/>
      <c r="P75" s="2400">
        <f>P73+P74</f>
        <v>39285</v>
      </c>
    </row>
    <row r="76" spans="1:16">
      <c r="A76" s="2349"/>
      <c r="B76" s="2351"/>
      <c r="C76" s="2358" t="s">
        <v>255</v>
      </c>
      <c r="D76" s="2351"/>
      <c r="E76" s="2351"/>
      <c r="F76" s="2351"/>
      <c r="G76" s="2351"/>
      <c r="H76" s="2400">
        <f>'Part VI-Revenues &amp; Expenses'!$O$59</f>
        <v>0</v>
      </c>
      <c r="I76" s="2351"/>
      <c r="J76" s="2349"/>
      <c r="K76" s="2358" t="s">
        <v>2793</v>
      </c>
      <c r="L76" s="2351"/>
      <c r="M76" s="2351"/>
      <c r="N76" s="2351"/>
      <c r="O76" s="2351"/>
      <c r="P76" s="2400">
        <f>'Part VI-Revenues &amp; Expenses'!$O$118</f>
        <v>0</v>
      </c>
    </row>
    <row r="77" spans="1:16">
      <c r="A77" s="2349"/>
      <c r="B77" s="2351"/>
      <c r="C77" s="2358" t="s">
        <v>2422</v>
      </c>
      <c r="D77" s="2351"/>
      <c r="E77" s="2351"/>
      <c r="F77" s="2351"/>
      <c r="G77" s="2351"/>
      <c r="H77" s="2400">
        <f>H73+H76</f>
        <v>48</v>
      </c>
      <c r="I77" s="2351"/>
      <c r="J77" s="2349"/>
      <c r="K77" s="2358" t="s">
        <v>1431</v>
      </c>
      <c r="L77" s="2351"/>
      <c r="M77" s="2351"/>
      <c r="N77" s="2351"/>
      <c r="O77" s="2351"/>
      <c r="P77" s="2400">
        <f>+P75+P76</f>
        <v>39285</v>
      </c>
    </row>
    <row r="78" spans="1:16">
      <c r="A78" s="2349"/>
      <c r="B78" s="2351"/>
      <c r="C78" s="2358" t="s">
        <v>2423</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1805</v>
      </c>
      <c r="D79" s="2351"/>
      <c r="E79" s="2351"/>
      <c r="F79" s="2351"/>
      <c r="G79" s="2351"/>
      <c r="H79" s="2400">
        <f>+H77+H78</f>
        <v>48</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1747</v>
      </c>
      <c r="C81" s="2348" t="s">
        <v>2312</v>
      </c>
      <c r="D81" s="2382" t="s">
        <v>2011</v>
      </c>
      <c r="E81" s="2351"/>
      <c r="F81" s="2351"/>
      <c r="G81" s="2351"/>
      <c r="H81" s="2400">
        <f>'Part I-Project Information'!H70</f>
        <v>8</v>
      </c>
      <c r="I81" s="2351"/>
      <c r="J81" s="2351"/>
      <c r="K81" s="2358" t="s">
        <v>4106</v>
      </c>
      <c r="L81" s="2351"/>
      <c r="M81" s="2351"/>
      <c r="N81" s="2351"/>
      <c r="O81" s="2351"/>
      <c r="P81" s="2400">
        <f>'Part I-Project Information'!P70</f>
        <v>900</v>
      </c>
    </row>
    <row r="82" spans="1:16">
      <c r="A82" s="2349"/>
      <c r="B82" s="2349"/>
      <c r="C82" s="2351"/>
      <c r="D82" s="2370" t="s">
        <v>2012</v>
      </c>
      <c r="E82" s="2351"/>
      <c r="F82" s="2351"/>
      <c r="G82" s="2351"/>
      <c r="H82" s="2400">
        <f>'Part I-Project Information'!H71</f>
        <v>1</v>
      </c>
      <c r="I82" s="2351"/>
      <c r="J82" s="2351"/>
      <c r="K82" s="2358" t="s">
        <v>254</v>
      </c>
      <c r="L82" s="2351"/>
      <c r="M82" s="2351"/>
      <c r="N82" s="2351"/>
      <c r="O82" s="2351"/>
      <c r="P82" s="2400">
        <f>+P77+P81</f>
        <v>40185</v>
      </c>
    </row>
    <row r="83" spans="1:16">
      <c r="A83" s="2349"/>
      <c r="B83" s="2349"/>
      <c r="C83" s="2351"/>
      <c r="D83" s="2370" t="s">
        <v>2013</v>
      </c>
      <c r="E83" s="2351"/>
      <c r="F83" s="2351"/>
      <c r="G83" s="2351"/>
      <c r="H83" s="2400">
        <f>+H81+H82</f>
        <v>9</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1748</v>
      </c>
      <c r="C85" s="2348" t="s">
        <v>2860</v>
      </c>
      <c r="D85" s="2351"/>
      <c r="E85" s="2351"/>
      <c r="F85" s="2351"/>
      <c r="G85" s="2351"/>
      <c r="H85" s="2400">
        <f>'Part I-Project Information'!H74</f>
        <v>93</v>
      </c>
      <c r="I85" s="2351"/>
      <c r="J85" s="2351"/>
      <c r="K85" s="2347" t="s">
        <v>3886</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534</v>
      </c>
      <c r="B87" s="2401" t="s">
        <v>1201</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1998</v>
      </c>
      <c r="C89" s="2352" t="s">
        <v>4732</v>
      </c>
      <c r="D89" s="2402"/>
      <c r="E89" s="2402"/>
      <c r="F89" s="2351"/>
      <c r="G89" s="2356"/>
      <c r="H89" s="2382" t="str">
        <f>'Part I-Project Information'!H78</f>
        <v>Family</v>
      </c>
      <c r="I89" s="2382">
        <f>'Part I-Project Information'!I78</f>
        <v>0</v>
      </c>
      <c r="J89" s="2351"/>
      <c r="K89" s="2351" t="s">
        <v>1784</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3908</v>
      </c>
      <c r="I91" s="2347"/>
      <c r="J91" s="2351"/>
      <c r="K91" s="2403" t="s">
        <v>2931</v>
      </c>
      <c r="L91" s="2400">
        <f>'Part I-Project Information'!L80</f>
        <v>0</v>
      </c>
      <c r="M91" s="2403" t="s">
        <v>2932</v>
      </c>
      <c r="N91" s="2400">
        <f>'Part I-Project Information'!N80</f>
        <v>0</v>
      </c>
      <c r="O91" s="2351"/>
      <c r="P91" s="2362" t="s">
        <v>3910</v>
      </c>
    </row>
    <row r="92" spans="1:16">
      <c r="A92" s="2349"/>
      <c r="B92" s="2349"/>
      <c r="C92" s="2351"/>
      <c r="D92" s="2359"/>
      <c r="E92" s="2402"/>
      <c r="F92" s="2351"/>
      <c r="G92" s="2351"/>
      <c r="H92" s="2347"/>
      <c r="I92" s="2347"/>
      <c r="J92" s="2351"/>
      <c r="K92" s="2362" t="s">
        <v>2933</v>
      </c>
      <c r="L92" s="2400">
        <f>'Part I-Project Information'!L81</f>
        <v>0</v>
      </c>
      <c r="M92" s="2362" t="s">
        <v>3909</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2000</v>
      </c>
      <c r="C94" s="2348" t="s">
        <v>1422</v>
      </c>
      <c r="D94" s="2351"/>
      <c r="E94" s="2382"/>
      <c r="F94" s="2370" t="s">
        <v>803</v>
      </c>
      <c r="G94" s="2351"/>
      <c r="H94" s="2400">
        <f>'Part VIII-Threshold Criteria'!K301</f>
        <v>3</v>
      </c>
      <c r="I94" s="2351"/>
      <c r="J94" s="2351"/>
      <c r="K94" s="2351" t="s">
        <v>524</v>
      </c>
      <c r="L94" s="2351"/>
      <c r="M94" s="2351"/>
      <c r="N94" s="2404">
        <f>IF('Part VI-Revenues &amp; Expenses'!$O$62=0,0,H94/'Part VI-Revenues &amp; Expenses'!$O$62)</f>
        <v>6.25E-2</v>
      </c>
      <c r="O94" s="2362" t="s">
        <v>3723</v>
      </c>
      <c r="P94" s="2405">
        <f>'DCA Underwriting Assumptions'!$Q$136</f>
        <v>0.05</v>
      </c>
    </row>
    <row r="95" spans="1:16">
      <c r="A95" s="2349"/>
      <c r="B95" s="2349"/>
      <c r="C95" s="2351"/>
      <c r="D95" s="2370" t="s">
        <v>2858</v>
      </c>
      <c r="E95" s="2370"/>
      <c r="F95" s="2370" t="s">
        <v>803</v>
      </c>
      <c r="G95" s="2351"/>
      <c r="H95" s="2400">
        <f>'Part VIII-Threshold Criteria'!K302</f>
        <v>0</v>
      </c>
      <c r="I95" s="2351"/>
      <c r="J95" s="2351"/>
      <c r="K95" s="2351" t="s">
        <v>2859</v>
      </c>
      <c r="L95" s="2351"/>
      <c r="M95" s="2351"/>
      <c r="N95" s="2404">
        <f>IF(H94=0,0,H95/H94)</f>
        <v>0</v>
      </c>
      <c r="O95" s="2362" t="s">
        <v>3723</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756</v>
      </c>
      <c r="C97" s="2348" t="s">
        <v>1857</v>
      </c>
      <c r="D97" s="2382"/>
      <c r="E97" s="2382"/>
      <c r="F97" s="2370" t="s">
        <v>803</v>
      </c>
      <c r="G97" s="2351"/>
      <c r="H97" s="2400">
        <f>'Part VIII-Threshold Criteria'!K304</f>
        <v>0</v>
      </c>
      <c r="I97" s="2351"/>
      <c r="J97" s="2351"/>
      <c r="K97" s="2351" t="s">
        <v>524</v>
      </c>
      <c r="L97" s="2351"/>
      <c r="M97" s="2351"/>
      <c r="N97" s="2404">
        <f>IF('Part VI-Revenues &amp; Expenses'!$O$62=0,0,H97/'Part VI-Revenues &amp; Expenses'!$O$62)</f>
        <v>0</v>
      </c>
      <c r="O97" s="2362" t="s">
        <v>3723</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779</v>
      </c>
      <c r="B99" s="2402" t="s">
        <v>2392</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1998</v>
      </c>
      <c r="C101" s="2352" t="s">
        <v>2391</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2000</v>
      </c>
      <c r="C103" s="2348" t="s">
        <v>1545</v>
      </c>
      <c r="D103" s="2351"/>
      <c r="E103" s="2351"/>
      <c r="F103" s="2351"/>
      <c r="G103" s="2351"/>
      <c r="H103" s="2351"/>
      <c r="I103" s="2351"/>
      <c r="J103" s="2351"/>
      <c r="K103" s="2359" t="s">
        <v>876</v>
      </c>
      <c r="L103" s="2351"/>
      <c r="M103" s="2351"/>
      <c r="N103" s="2406"/>
      <c r="O103" s="2351"/>
      <c r="P103" s="2356" t="str">
        <f>'Part I-Project Information'!P92</f>
        <v>No</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2056</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1998</v>
      </c>
      <c r="C107" s="2348" t="s">
        <v>2725</v>
      </c>
      <c r="D107" s="2351"/>
      <c r="E107" s="2351"/>
      <c r="F107" s="2382" t="s">
        <v>2616</v>
      </c>
      <c r="G107" s="2351"/>
      <c r="H107" s="2356">
        <f>'Part I-Project Information'!H96</f>
        <v>0</v>
      </c>
      <c r="I107" s="2351"/>
      <c r="J107" s="2351"/>
      <c r="K107" s="2382" t="s">
        <v>3933</v>
      </c>
      <c r="L107" s="2356">
        <f>'Part I-Project Information'!L96</f>
        <v>0</v>
      </c>
      <c r="M107" s="2351"/>
      <c r="N107" s="2351"/>
      <c r="O107" s="2362" t="s">
        <v>3927</v>
      </c>
      <c r="P107" s="2356" t="str">
        <f>'Part I-Project Information'!P96</f>
        <v>Yes</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2000</v>
      </c>
      <c r="C109" s="2348" t="s">
        <v>2726</v>
      </c>
      <c r="D109" s="2351"/>
      <c r="E109" s="2351"/>
      <c r="F109" s="2359" t="s">
        <v>2695</v>
      </c>
      <c r="G109" s="2351"/>
      <c r="H109" s="2356">
        <f>'Part I-Project Information'!H98</f>
        <v>0</v>
      </c>
      <c r="I109" s="2407" t="s">
        <v>2727</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2800</v>
      </c>
      <c r="C111" s="2351"/>
      <c r="D111" s="2370"/>
      <c r="E111" s="2351"/>
      <c r="F111" s="2351"/>
      <c r="G111" s="2351"/>
      <c r="H111" s="2351" t="str">
        <f>'Part I-Project Information'!H100</f>
        <v>Rural</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1199</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556</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557</v>
      </c>
      <c r="N115" s="2382"/>
      <c r="O115" s="2408">
        <f>'Part I-Project Information'!O104</f>
        <v>0</v>
      </c>
      <c r="P115" s="2408">
        <f>'Part I-Project Information'!P104</f>
        <v>0</v>
      </c>
    </row>
    <row r="116" spans="1:16">
      <c r="A116" s="2351"/>
      <c r="B116" s="2351"/>
      <c r="C116" s="2359" t="s">
        <v>1030</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815</v>
      </c>
      <c r="N116" s="2382"/>
      <c r="O116" s="2367">
        <f>'Part I-Project Information'!O105</f>
        <v>0</v>
      </c>
      <c r="P116" s="2367">
        <f>'Part I-Project Information'!P105</f>
        <v>0</v>
      </c>
    </row>
    <row r="117" spans="1:16">
      <c r="A117" s="2351"/>
      <c r="B117" s="2351"/>
      <c r="C117" s="2359" t="s">
        <v>623</v>
      </c>
      <c r="D117" s="2351"/>
      <c r="E117" s="2351">
        <f>'Part I-Project Information'!E106</f>
        <v>0</v>
      </c>
      <c r="F117" s="2382">
        <f>'Part I-Project Information'!F106</f>
        <v>0</v>
      </c>
      <c r="G117" s="2382">
        <f>'Part I-Project Information'!G106</f>
        <v>0</v>
      </c>
      <c r="H117" s="2356" t="s">
        <v>1811</v>
      </c>
      <c r="I117" s="2356">
        <f>'Part I-Project Information'!I106</f>
        <v>0</v>
      </c>
      <c r="J117" s="2356" t="s">
        <v>2244</v>
      </c>
      <c r="K117" s="2371"/>
      <c r="L117" s="2382"/>
      <c r="M117" s="2358" t="s">
        <v>3690</v>
      </c>
      <c r="N117" s="2358"/>
      <c r="O117" s="2409">
        <f>'Part I-Project Information'!O106</f>
        <v>0</v>
      </c>
      <c r="P117" s="2409">
        <f>'Part I-Project Information'!P106</f>
        <v>0</v>
      </c>
    </row>
    <row r="118" spans="1:16">
      <c r="A118" s="2351"/>
      <c r="B118" s="2351"/>
      <c r="C118" s="2351" t="s">
        <v>2209</v>
      </c>
      <c r="D118" s="2351"/>
      <c r="E118" s="2351">
        <f>'Part I-Project Information'!E107</f>
        <v>0</v>
      </c>
      <c r="F118" s="2382">
        <f>'Part I-Project Information'!F107</f>
        <v>0</v>
      </c>
      <c r="G118" s="2382">
        <f>'Part I-Project Information'!G107</f>
        <v>0</v>
      </c>
      <c r="H118" s="2356" t="s">
        <v>1995</v>
      </c>
      <c r="I118" s="2351">
        <f>'Part I-Project Information'!I107</f>
        <v>0</v>
      </c>
      <c r="J118" s="2382">
        <f>'Part I-Project Information'!J107</f>
        <v>0</v>
      </c>
      <c r="K118" s="2382">
        <f>'Part I-Project Information'!K107</f>
        <v>0</v>
      </c>
      <c r="L118" s="2356" t="s">
        <v>1999</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2208</v>
      </c>
      <c r="D119" s="2351"/>
      <c r="E119" s="2372">
        <f>'Part I-Project Information'!E108</f>
        <v>0</v>
      </c>
      <c r="F119" s="2372">
        <f>'Part I-Project Information'!F108</f>
        <v>0</v>
      </c>
      <c r="G119" s="2372">
        <f>'Part I-Project Information'!G108</f>
        <v>0</v>
      </c>
      <c r="H119" s="2356" t="s">
        <v>1814</v>
      </c>
      <c r="I119" s="2372">
        <f>'Part I-Project Information'!I108</f>
        <v>0</v>
      </c>
      <c r="J119" s="2382">
        <f>'Part I-Project Information'!J108</f>
        <v>0</v>
      </c>
      <c r="K119" s="2356" t="s">
        <v>2721</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1681</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2168</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1998</v>
      </c>
      <c r="C125" s="2402" t="s">
        <v>1423</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2000</v>
      </c>
      <c r="C127" s="2402" t="s">
        <v>418</v>
      </c>
      <c r="D127" s="2370"/>
      <c r="E127" s="2370"/>
      <c r="F127" s="2356"/>
      <c r="G127" s="2356"/>
      <c r="H127" s="2411">
        <f>'Part I-Project Information'!H116</f>
        <v>1115156</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756</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2150</v>
      </c>
      <c r="D130" s="2370"/>
      <c r="E130" s="2351"/>
      <c r="F130" s="2370" t="s">
        <v>1143</v>
      </c>
      <c r="G130" s="2356"/>
      <c r="H130" s="2356"/>
      <c r="I130" s="2356" t="s">
        <v>1305</v>
      </c>
      <c r="J130" s="2370" t="s">
        <v>2150</v>
      </c>
      <c r="K130" s="2370"/>
      <c r="L130" s="2351"/>
      <c r="M130" s="2370" t="s">
        <v>1143</v>
      </c>
      <c r="N130" s="2356"/>
      <c r="O130" s="2356"/>
      <c r="P130" s="2356" t="s">
        <v>1305</v>
      </c>
    </row>
    <row r="131" spans="1:16" ht="13.5">
      <c r="A131" s="2349"/>
      <c r="B131" s="2349"/>
      <c r="C131" s="2363" t="str">
        <f>'Part I-Project Information'!C120</f>
        <v>Jerry W. Braden</v>
      </c>
      <c r="D131" s="2363">
        <f>'Part I-Project Information'!D120</f>
        <v>0</v>
      </c>
      <c r="E131" s="2363">
        <f>'Part I-Project Information'!E120</f>
        <v>0</v>
      </c>
      <c r="F131" s="2363" t="str">
        <f>'Part I-Project Information'!F120</f>
        <v>The Village at Chickamauga II</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Annamarie Braden</v>
      </c>
      <c r="D132" s="2363">
        <f>'Part I-Project Information'!D121</f>
        <v>0</v>
      </c>
      <c r="E132" s="2363">
        <f>'Part I-Project Information'!E121</f>
        <v>0</v>
      </c>
      <c r="F132" s="2363" t="str">
        <f>'Part I-Project Information'!F121</f>
        <v>The Village at Chickamauga II</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Jerry W. Braden</v>
      </c>
      <c r="D133" s="2363">
        <f>'Part I-Project Information'!D122</f>
        <v>0</v>
      </c>
      <c r="E133" s="2363">
        <f>'Part I-Project Information'!E122</f>
        <v>0</v>
      </c>
      <c r="F133" s="2363" t="str">
        <f>'Part I-Project Information'!F122</f>
        <v>Hillcrest Apartments, L.P.</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Annamarie Braden</v>
      </c>
      <c r="D134" s="2363">
        <f>'Part I-Project Information'!D123</f>
        <v>0</v>
      </c>
      <c r="E134" s="2363">
        <f>'Part I-Project Information'!E123</f>
        <v>0</v>
      </c>
      <c r="F134" s="2363" t="str">
        <f>'Part I-Project Information'!F123</f>
        <v>Hillcrest Apartments, L.P.</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2130</v>
      </c>
      <c r="C138" s="2412" t="s">
        <v>1860</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2150</v>
      </c>
      <c r="D140" s="2370"/>
      <c r="E140" s="2351"/>
      <c r="F140" s="2370" t="s">
        <v>1143</v>
      </c>
      <c r="G140" s="2356"/>
      <c r="H140" s="2356"/>
      <c r="I140" s="2356"/>
      <c r="J140" s="2370" t="s">
        <v>2150</v>
      </c>
      <c r="K140" s="2370"/>
      <c r="L140" s="2351"/>
      <c r="M140" s="2370" t="s">
        <v>1143</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2433</v>
      </c>
      <c r="C149" s="2351"/>
      <c r="D149" s="2401"/>
      <c r="E149" s="2401"/>
      <c r="F149" s="2401"/>
      <c r="G149" s="2351"/>
      <c r="H149" s="2351"/>
      <c r="I149" s="2356" t="str">
        <f>'Part I-Project Information'!I138</f>
        <v>Yes</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1998</v>
      </c>
      <c r="C151" s="2352" t="s">
        <v>1725</v>
      </c>
      <c r="D151" s="2351"/>
      <c r="E151" s="2351"/>
      <c r="F151" s="2351"/>
      <c r="G151" s="2351"/>
      <c r="H151" s="2351"/>
      <c r="I151" s="2356" t="str">
        <f>'Part I-Project Information'!I140</f>
        <v>Yes</v>
      </c>
      <c r="J151" s="2351"/>
      <c r="K151" s="2351"/>
      <c r="L151" s="2351"/>
      <c r="M151" s="2356"/>
      <c r="N151" s="2351"/>
      <c r="O151" s="2351"/>
      <c r="P151" s="2373"/>
    </row>
    <row r="152" spans="1:16">
      <c r="A152" s="2349"/>
      <c r="B152" s="2349"/>
      <c r="C152" s="2370" t="s">
        <v>2435</v>
      </c>
      <c r="D152" s="2370"/>
      <c r="E152" s="2370"/>
      <c r="F152" s="2356"/>
      <c r="G152" s="2351"/>
      <c r="H152" s="2351"/>
      <c r="I152" s="2356">
        <f>'Part I-Project Information'!I141</f>
        <v>1995</v>
      </c>
      <c r="J152" s="2351"/>
      <c r="K152" s="2351"/>
      <c r="L152" s="2351"/>
      <c r="M152" s="2351"/>
      <c r="N152" s="2351"/>
      <c r="O152" s="2351"/>
      <c r="P152" s="2373"/>
    </row>
    <row r="153" spans="1:16">
      <c r="A153" s="2349"/>
      <c r="B153" s="2349"/>
      <c r="C153" s="2413" t="s">
        <v>1724</v>
      </c>
      <c r="D153" s="2359"/>
      <c r="E153" s="2351"/>
      <c r="F153" s="2351"/>
      <c r="G153" s="2351"/>
      <c r="H153" s="2351"/>
      <c r="I153" s="2356" t="str">
        <f>'Part I-Project Information'!I142</f>
        <v>95-088</v>
      </c>
      <c r="J153" s="2351"/>
      <c r="K153" s="2351"/>
      <c r="L153" s="2351"/>
      <c r="M153" s="2351"/>
      <c r="N153" s="2351"/>
      <c r="O153" s="2351"/>
      <c r="P153" s="2373"/>
    </row>
    <row r="154" spans="1:16">
      <c r="A154" s="2349"/>
      <c r="B154" s="2349"/>
      <c r="C154" s="2370" t="s">
        <v>2436</v>
      </c>
      <c r="D154" s="2370"/>
      <c r="E154" s="2370"/>
      <c r="F154" s="2356"/>
      <c r="G154" s="2351"/>
      <c r="H154" s="2351"/>
      <c r="I154" s="2356">
        <f>'Part I-Project Information'!I143</f>
        <v>1997</v>
      </c>
      <c r="J154" s="2351"/>
      <c r="K154" s="2358" t="s">
        <v>2260</v>
      </c>
      <c r="L154" s="2351"/>
      <c r="M154" s="2351"/>
      <c r="N154" s="2351"/>
      <c r="O154" s="2351" t="str">
        <f>'Part I-Project Information'!O143</f>
        <v>GA-95-08801</v>
      </c>
      <c r="P154" s="2351">
        <f>'Part I-Project Information'!P143</f>
        <v>0</v>
      </c>
    </row>
    <row r="155" spans="1:16">
      <c r="A155" s="2349"/>
      <c r="B155" s="2349"/>
      <c r="C155" s="2370" t="s">
        <v>2434</v>
      </c>
      <c r="D155" s="2351"/>
      <c r="E155" s="2351"/>
      <c r="F155" s="2356"/>
      <c r="G155" s="2351"/>
      <c r="H155" s="2351"/>
      <c r="I155" s="2356" t="str">
        <f>'Part I-Project Information'!I144</f>
        <v>No</v>
      </c>
      <c r="J155" s="2351"/>
      <c r="K155" s="2358" t="s">
        <v>2261</v>
      </c>
      <c r="L155" s="2351"/>
      <c r="M155" s="2351"/>
      <c r="N155" s="2351"/>
      <c r="O155" s="2351" t="str">
        <f>'Part I-Project Information'!O144</f>
        <v>GA-95-08808</v>
      </c>
      <c r="P155" s="2351">
        <f>'Part I-Project Information'!P144</f>
        <v>0</v>
      </c>
    </row>
    <row r="156" spans="1:16">
      <c r="A156" s="2349"/>
      <c r="B156" s="2349"/>
      <c r="C156" s="2370" t="s">
        <v>2181</v>
      </c>
      <c r="D156" s="2370"/>
      <c r="E156" s="2370"/>
      <c r="F156" s="2356"/>
      <c r="G156" s="2351"/>
      <c r="H156" s="2351"/>
      <c r="I156" s="2408">
        <f>'Part I-Project Information'!I145</f>
        <v>41274</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2000</v>
      </c>
      <c r="C158" s="2402" t="s">
        <v>2505</v>
      </c>
      <c r="D158" s="2370"/>
      <c r="E158" s="2370"/>
      <c r="F158" s="2356"/>
      <c r="G158" s="2351"/>
      <c r="H158" s="2351"/>
      <c r="I158" s="2376" t="str">
        <f>'Part I-Project Information'!I147</f>
        <v>No</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756</v>
      </c>
      <c r="C160" s="2402" t="s">
        <v>2718</v>
      </c>
      <c r="D160" s="2370"/>
      <c r="E160" s="2370"/>
      <c r="F160" s="2356"/>
      <c r="G160" s="2356"/>
      <c r="H160" s="2351"/>
      <c r="I160" s="2351"/>
      <c r="J160" s="2351"/>
      <c r="K160" s="2351"/>
      <c r="L160" s="2351"/>
      <c r="M160" s="2351"/>
      <c r="N160" s="2351"/>
      <c r="O160" s="2351"/>
      <c r="P160" s="2373"/>
    </row>
    <row r="161" spans="1:16">
      <c r="A161" s="2349"/>
      <c r="B161" s="2349"/>
      <c r="C161" s="2370" t="s">
        <v>4733</v>
      </c>
      <c r="D161" s="2370"/>
      <c r="E161" s="2370"/>
      <c r="F161" s="2356"/>
      <c r="G161" s="2356"/>
      <c r="H161" s="2351"/>
      <c r="I161" s="2376" t="str">
        <f>'Part I-Project Information'!I150</f>
        <v>No</v>
      </c>
      <c r="J161" s="2351"/>
      <c r="K161" s="2370" t="s">
        <v>1546</v>
      </c>
      <c r="L161" s="2370"/>
      <c r="M161" s="2356"/>
      <c r="N161" s="2356"/>
      <c r="O161" s="2376" t="str">
        <f>'Part I-Project Information'!O150</f>
        <v>No</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1738</v>
      </c>
      <c r="B163" s="2401" t="s">
        <v>1200</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1998</v>
      </c>
      <c r="C165" s="2389" t="s">
        <v>1835</v>
      </c>
      <c r="D165" s="2351"/>
      <c r="E165" s="2351"/>
      <c r="F165" s="2356"/>
      <c r="G165" s="2356"/>
      <c r="H165" s="2356"/>
      <c r="I165" s="2356"/>
      <c r="J165" s="2376"/>
      <c r="K165" s="2356"/>
      <c r="L165" s="2356"/>
      <c r="M165" s="2351"/>
      <c r="N165" s="2351"/>
      <c r="O165" s="2351"/>
      <c r="P165" s="2373"/>
    </row>
    <row r="166" spans="1:16">
      <c r="A166" s="2349"/>
      <c r="B166" s="2349"/>
      <c r="C166" s="2382" t="s">
        <v>1538</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620</v>
      </c>
      <c r="D167" s="2351"/>
      <c r="E167" s="2351"/>
      <c r="F167" s="2351"/>
      <c r="G167" s="2351"/>
      <c r="H167" s="2351"/>
      <c r="I167" s="2351"/>
      <c r="J167" s="2351"/>
      <c r="K167" s="2376">
        <f>'Part I-Project Information'!K156</f>
        <v>0</v>
      </c>
      <c r="L167" s="2359" t="s">
        <v>1807</v>
      </c>
      <c r="M167" s="2351"/>
      <c r="N167" s="2351"/>
      <c r="O167" s="2351"/>
      <c r="P167" s="2414">
        <f>IF('Part VI-Revenues &amp; Expenses'!O$60=0,0,K167/'Part VI-Revenues &amp; Expenses'!$O$60)</f>
        <v>0</v>
      </c>
    </row>
    <row r="168" spans="1:16">
      <c r="A168" s="2349"/>
      <c r="B168" s="2349"/>
      <c r="C168" s="2351" t="s">
        <v>4734</v>
      </c>
      <c r="D168" s="2351"/>
      <c r="E168" s="2351"/>
      <c r="F168" s="2351"/>
      <c r="G168" s="2351"/>
      <c r="H168" s="2400">
        <f>'Part I-Project Information'!H157</f>
        <v>0</v>
      </c>
      <c r="I168" s="2357"/>
      <c r="J168" s="2415" t="s">
        <v>3754</v>
      </c>
      <c r="K168" s="2376">
        <f>'Part I-Project Information'!K157</f>
        <v>0</v>
      </c>
      <c r="L168" s="2359" t="s">
        <v>1807</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1808</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1809</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1810</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1814</v>
      </c>
      <c r="M170" s="2372">
        <f>'Part I-Project Information'!M159</f>
        <v>0</v>
      </c>
      <c r="N170" s="2372">
        <f>'Part I-Project Information'!N159</f>
        <v>0</v>
      </c>
      <c r="O170" s="2372">
        <f>'Part I-Project Information'!O159</f>
        <v>0</v>
      </c>
      <c r="P170" s="2351"/>
    </row>
    <row r="171" spans="1:16">
      <c r="A171" s="2349"/>
      <c r="B171" s="2349"/>
      <c r="C171" s="2359" t="s">
        <v>623</v>
      </c>
      <c r="D171" s="2351"/>
      <c r="E171" s="2351">
        <f>'Part I-Project Information'!E160</f>
        <v>0</v>
      </c>
      <c r="F171" s="2351">
        <f>'Part I-Project Information'!F160</f>
        <v>0</v>
      </c>
      <c r="G171" s="2351">
        <f>'Part I-Project Information'!G160</f>
        <v>0</v>
      </c>
      <c r="H171" s="2351">
        <f>'Part I-Project Information'!H160</f>
        <v>0</v>
      </c>
      <c r="I171" s="2356" t="s">
        <v>2244</v>
      </c>
      <c r="J171" s="2371">
        <f>'Part I-Project Information'!J160</f>
        <v>0</v>
      </c>
      <c r="K171" s="2371">
        <f>'Part I-Project Information'!K160</f>
        <v>0</v>
      </c>
      <c r="L171" s="2359" t="s">
        <v>1994</v>
      </c>
      <c r="M171" s="2372">
        <f>'Part I-Project Information'!M160</f>
        <v>0</v>
      </c>
      <c r="N171" s="2372">
        <f>'Part I-Project Information'!N160</f>
        <v>0</v>
      </c>
      <c r="O171" s="2372">
        <f>'Part I-Project Information'!O160</f>
        <v>0</v>
      </c>
      <c r="P171" s="2351"/>
    </row>
    <row r="172" spans="1:16">
      <c r="A172" s="2349"/>
      <c r="B172" s="2349"/>
      <c r="C172" s="2359" t="s">
        <v>1813</v>
      </c>
      <c r="D172" s="2351"/>
      <c r="E172" s="2372">
        <f>'Part I-Project Information'!E161</f>
        <v>0</v>
      </c>
      <c r="F172" s="2372">
        <f>'Part I-Project Information'!F161</f>
        <v>0</v>
      </c>
      <c r="G172" s="2372">
        <f>'Part I-Project Information'!G161</f>
        <v>0</v>
      </c>
      <c r="H172" s="2356"/>
      <c r="I172" s="2356" t="s">
        <v>1812</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2000</v>
      </c>
      <c r="C174" s="2402" t="s">
        <v>2719</v>
      </c>
      <c r="D174" s="2402"/>
      <c r="E174" s="2402"/>
      <c r="F174" s="2402"/>
      <c r="G174" s="2402"/>
      <c r="H174" s="2351"/>
      <c r="I174" s="2376" t="str">
        <f>'Part I-Project Information'!I163</f>
        <v>No</v>
      </c>
      <c r="J174" s="2382" t="s">
        <v>768</v>
      </c>
      <c r="K174" s="2382"/>
      <c r="L174" s="2376">
        <f>'Part I-Project Information'!L163</f>
        <v>0</v>
      </c>
      <c r="M174" s="2351" t="s">
        <v>2341</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2720</v>
      </c>
      <c r="D176" s="2402"/>
      <c r="E176" s="2402"/>
      <c r="F176" s="2402"/>
      <c r="G176" s="2402"/>
      <c r="H176" s="2351"/>
      <c r="I176" s="2376" t="str">
        <f>'Part I-Project Information'!I165</f>
        <v>No</v>
      </c>
      <c r="J176" s="2382" t="s">
        <v>768</v>
      </c>
      <c r="K176" s="2382"/>
      <c r="L176" s="2376">
        <f>'Part I-Project Information'!L165</f>
        <v>0</v>
      </c>
      <c r="M176" s="2351" t="s">
        <v>2341</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756</v>
      </c>
      <c r="C178" s="2402" t="s">
        <v>1769</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2130</v>
      </c>
      <c r="C180" s="2401" t="s">
        <v>1993</v>
      </c>
      <c r="D180" s="2401"/>
      <c r="E180" s="2401"/>
      <c r="F180" s="2401"/>
      <c r="G180" s="2402"/>
      <c r="H180" s="2351"/>
      <c r="I180" s="2376" t="str">
        <f>'Part I-Project Information'!I169</f>
        <v>No</v>
      </c>
      <c r="J180" s="2418" t="s">
        <v>2770</v>
      </c>
      <c r="K180" s="2351"/>
      <c r="L180" s="2382" t="s">
        <v>4735</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804</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1803</v>
      </c>
      <c r="M182" s="2351"/>
      <c r="N182" s="2402"/>
      <c r="O182" s="2402"/>
      <c r="P182" s="2419" t="e">
        <f>IF(P180="","",P181/P180)</f>
        <v>#DIV/0!</v>
      </c>
    </row>
    <row r="183" spans="1:16">
      <c r="A183" s="2349"/>
      <c r="B183" s="2349" t="s">
        <v>1747</v>
      </c>
      <c r="C183" s="2352" t="s">
        <v>1620</v>
      </c>
      <c r="D183" s="2370"/>
      <c r="E183" s="2370"/>
      <c r="F183" s="2370"/>
      <c r="G183" s="2370"/>
      <c r="H183" s="2356"/>
      <c r="I183" s="2351"/>
      <c r="J183" s="2358"/>
      <c r="K183" s="2376"/>
      <c r="L183" s="2351"/>
      <c r="M183" s="2351"/>
      <c r="N183" s="2351"/>
      <c r="O183" s="2356"/>
      <c r="P183" s="2373"/>
    </row>
    <row r="184" spans="1:16">
      <c r="A184" s="2349"/>
      <c r="B184" s="2349"/>
      <c r="C184" s="2351" t="s">
        <v>2227</v>
      </c>
      <c r="D184" s="2348"/>
      <c r="E184" s="2351"/>
      <c r="F184" s="2351"/>
      <c r="G184" s="2351"/>
      <c r="H184" s="2351"/>
      <c r="I184" s="2376" t="str">
        <f>'Part I-Project Information'!I173</f>
        <v>No</v>
      </c>
      <c r="J184" s="2351"/>
      <c r="K184" s="2351"/>
      <c r="L184" s="2351" t="s">
        <v>1621</v>
      </c>
      <c r="M184" s="2351"/>
      <c r="N184" s="2351"/>
      <c r="O184" s="2351"/>
      <c r="P184" s="2376" t="str">
        <f>'Part I-Project Information'!P173</f>
        <v>Yes</v>
      </c>
    </row>
    <row r="185" spans="1:16">
      <c r="A185" s="2349"/>
      <c r="B185" s="2349"/>
      <c r="C185" s="2351" t="s">
        <v>2228</v>
      </c>
      <c r="D185" s="2351"/>
      <c r="E185" s="2351"/>
      <c r="F185" s="2351"/>
      <c r="G185" s="2351"/>
      <c r="H185" s="2351"/>
      <c r="I185" s="2376" t="str">
        <f>'Part I-Project Information'!I174</f>
        <v>Yes</v>
      </c>
      <c r="J185" s="2351"/>
      <c r="K185" s="2351"/>
      <c r="L185" s="2351" t="s">
        <v>2863</v>
      </c>
      <c r="M185" s="2351"/>
      <c r="N185" s="2351"/>
      <c r="O185" s="2351"/>
      <c r="P185" s="2376" t="str">
        <f>'Part I-Project Information'!P174</f>
        <v>No</v>
      </c>
    </row>
    <row r="186" spans="1:16" ht="13.5">
      <c r="A186" s="2349"/>
      <c r="B186" s="2351"/>
      <c r="C186" s="2351" t="s">
        <v>2739</v>
      </c>
      <c r="D186" s="2351"/>
      <c r="E186" s="2351"/>
      <c r="F186" s="2351"/>
      <c r="G186" s="2351"/>
      <c r="H186" s="2351"/>
      <c r="I186" s="2376" t="str">
        <f>'Part I-Project Information'!I175</f>
        <v>No</v>
      </c>
      <c r="J186" s="2351"/>
      <c r="K186" s="2351"/>
      <c r="L186" s="2351" t="s">
        <v>2706</v>
      </c>
      <c r="M186" s="2351"/>
      <c r="N186" s="2420">
        <f>'Part I-Project Information'!N175</f>
        <v>0</v>
      </c>
      <c r="O186" s="2420">
        <f>'Part I-Project Information'!O175</f>
        <v>0</v>
      </c>
      <c r="P186" s="2376">
        <f>'Part I-Project Information'!P175</f>
        <v>0</v>
      </c>
    </row>
    <row r="187" spans="1:16" ht="13.5">
      <c r="A187" s="2349"/>
      <c r="B187" s="2349"/>
      <c r="C187" s="2351" t="s">
        <v>1296</v>
      </c>
      <c r="D187" s="2421"/>
      <c r="E187" s="2351"/>
      <c r="F187" s="2351"/>
      <c r="G187" s="2351"/>
      <c r="H187" s="2351"/>
      <c r="I187" s="2376" t="str">
        <f>'Part I-Project Information'!I176</f>
        <v>No</v>
      </c>
      <c r="J187" s="2351"/>
      <c r="K187" s="2348"/>
      <c r="L187" s="2351" t="s">
        <v>3505</v>
      </c>
      <c r="M187" s="2351"/>
      <c r="N187" s="2351"/>
      <c r="O187" s="2351"/>
      <c r="P187" s="2376" t="str">
        <f>'Part I-Project Information'!P176</f>
        <v>No</v>
      </c>
    </row>
    <row r="188" spans="1:16">
      <c r="A188" s="2349"/>
      <c r="B188" s="2348"/>
      <c r="C188" s="2351" t="s">
        <v>1819</v>
      </c>
      <c r="D188" s="2351"/>
      <c r="E188" s="2351"/>
      <c r="F188" s="2351"/>
      <c r="G188" s="2351"/>
      <c r="H188" s="2351"/>
      <c r="I188" s="2376" t="str">
        <f>'Part I-Project Information'!I177</f>
        <v>No</v>
      </c>
      <c r="J188" s="2418" t="s">
        <v>2771</v>
      </c>
      <c r="K188" s="2351"/>
      <c r="L188" s="2351"/>
      <c r="M188" s="2351"/>
      <c r="N188" s="2351"/>
      <c r="O188" s="2422">
        <f>'Part I-Project Information'!O177</f>
        <v>0</v>
      </c>
      <c r="P188" s="2422">
        <f>'Part I-Project Information'!P177</f>
        <v>0</v>
      </c>
    </row>
    <row r="189" spans="1:16">
      <c r="A189" s="2349"/>
      <c r="B189" s="2349"/>
      <c r="C189" s="2351" t="s">
        <v>2921</v>
      </c>
      <c r="D189" s="2351"/>
      <c r="E189" s="2351"/>
      <c r="F189" s="2351"/>
      <c r="G189" s="2351"/>
      <c r="H189" s="2351"/>
      <c r="I189" s="2376" t="str">
        <f>'Part I-Project Information'!I178</f>
        <v>No</v>
      </c>
      <c r="J189" s="2418" t="s">
        <v>2771</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1748</v>
      </c>
      <c r="C191" s="2352" t="s">
        <v>746</v>
      </c>
      <c r="D191" s="2351"/>
      <c r="E191" s="2351"/>
      <c r="F191" s="2351"/>
      <c r="G191" s="2351"/>
      <c r="H191" s="2351"/>
      <c r="I191" s="2351"/>
      <c r="J191" s="2351"/>
      <c r="K191" s="2351"/>
      <c r="L191" s="2351"/>
      <c r="M191" s="2351"/>
      <c r="N191" s="2351"/>
      <c r="O191" s="2351"/>
      <c r="P191" s="2351"/>
    </row>
    <row r="192" spans="1:16">
      <c r="A192" s="2349"/>
      <c r="B192" s="2349"/>
      <c r="C192" s="2359" t="s">
        <v>644</v>
      </c>
      <c r="D192" s="2370"/>
      <c r="E192" s="2370"/>
      <c r="F192" s="2356"/>
      <c r="G192" s="2356"/>
      <c r="H192" s="2408">
        <f>'Part I-Project Information'!H181</f>
        <v>35321</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t="str">
        <f>'Part I-Project Information'!H182</f>
        <v>NA</v>
      </c>
      <c r="I193" s="2408">
        <f>'Part I-Project Information'!I182</f>
        <v>0</v>
      </c>
      <c r="J193" s="2351"/>
      <c r="K193" s="2351"/>
      <c r="L193" s="2351"/>
      <c r="M193" s="2351"/>
      <c r="N193" s="2351"/>
      <c r="O193" s="2351"/>
      <c r="P193" s="2373"/>
    </row>
    <row r="194" spans="1:19">
      <c r="A194" s="2349"/>
      <c r="B194" s="2349"/>
      <c r="C194" s="2359" t="s">
        <v>2310</v>
      </c>
      <c r="D194" s="2370"/>
      <c r="E194" s="2370"/>
      <c r="F194" s="2356"/>
      <c r="G194" s="2356"/>
      <c r="H194" s="2408" t="str">
        <f>'Part I-Project Information'!H183</f>
        <v>NA</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2799</v>
      </c>
      <c r="B196" s="2401"/>
      <c r="C196" s="2399" t="s">
        <v>576</v>
      </c>
      <c r="D196" s="2358"/>
      <c r="E196" s="2358"/>
      <c r="F196" s="2358"/>
      <c r="G196" s="2358"/>
      <c r="H196" s="2358"/>
      <c r="I196" s="2358"/>
      <c r="J196" s="2358"/>
      <c r="K196" s="2358"/>
      <c r="L196" s="2358"/>
      <c r="M196" s="2399" t="s">
        <v>2266</v>
      </c>
      <c r="N196" s="2399" t="s">
        <v>80</v>
      </c>
      <c r="O196" s="2358"/>
      <c r="P196" s="2358"/>
    </row>
    <row r="197" spans="1:19" ht="12.75" customHeight="1">
      <c r="A197" s="2423" t="str">
        <f>'Part I-Project Information'!A186</f>
        <v>The participants are determined by DCA to be qualified without conditions. The applicant received a selection undeer the RuralHOME setaside.  The HOME loan will be paid off in full and the project will be rehabed.</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2018-032 Hillcrest Apartments,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4521</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621</v>
      </c>
      <c r="B206" s="2352" t="s">
        <v>1871</v>
      </c>
      <c r="C206" s="2352"/>
      <c r="D206" s="2351"/>
      <c r="E206" s="2352"/>
      <c r="F206" s="2352"/>
      <c r="G206" s="2352"/>
      <c r="H206" s="2353" t="s">
        <v>4318</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1998</v>
      </c>
      <c r="C208" s="2352" t="s">
        <v>1867</v>
      </c>
      <c r="D208" s="2351"/>
      <c r="E208" s="2351"/>
      <c r="F208" s="2351"/>
      <c r="G208" s="2351"/>
      <c r="H208" s="2351" t="str">
        <f>'Part II-Development Team'!H5</f>
        <v>Hillcrest Apartments,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2004</v>
      </c>
      <c r="P208" s="2359"/>
      <c r="Q208" s="2351" t="str">
        <f>'Part II-Development Team'!Q5</f>
        <v>Jerry W. Braden</v>
      </c>
      <c r="R208" s="2351">
        <f>'Part II-Development Team'!R5</f>
        <v>0</v>
      </c>
      <c r="S208" s="2351">
        <f>'Part II-Development Team'!S5</f>
        <v>0</v>
      </c>
    </row>
    <row r="209" spans="1:19">
      <c r="A209" s="2351"/>
      <c r="B209" s="2351"/>
      <c r="C209" s="2351"/>
      <c r="D209" s="2424"/>
      <c r="E209" s="2359" t="s">
        <v>1030</v>
      </c>
      <c r="F209" s="2362"/>
      <c r="G209" s="2351"/>
      <c r="H209" s="2351" t="str">
        <f>'Part II-Development Team'!H6</f>
        <v>135 North Washington street</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1759</v>
      </c>
      <c r="P209" s="2351"/>
      <c r="Q209" s="2351" t="str">
        <f>'Part II-Development Team'!Q6</f>
        <v>Member</v>
      </c>
      <c r="R209" s="2351">
        <f>'Part II-Development Team'!R6</f>
        <v>0</v>
      </c>
      <c r="S209" s="2351">
        <f>'Part II-Development Team'!S6</f>
        <v>0</v>
      </c>
    </row>
    <row r="210" spans="1:19">
      <c r="A210" s="2351"/>
      <c r="B210" s="2351"/>
      <c r="C210" s="2351"/>
      <c r="D210" s="2424"/>
      <c r="E210" s="2359" t="s">
        <v>623</v>
      </c>
      <c r="F210" s="2351"/>
      <c r="G210" s="2351"/>
      <c r="H210" s="2351" t="str">
        <f>'Part II-Development Team'!H7</f>
        <v>Summerville</v>
      </c>
      <c r="I210" s="2351">
        <f>'Part II-Development Team'!I7</f>
        <v>0</v>
      </c>
      <c r="J210" s="2351">
        <f>'Part II-Development Team'!J7</f>
        <v>0</v>
      </c>
      <c r="K210" s="2356" t="s">
        <v>769</v>
      </c>
      <c r="L210" s="2351">
        <f>'Part II-Development Team'!L7</f>
        <v>0</v>
      </c>
      <c r="M210" s="2351">
        <f>'Part II-Development Team'!M7</f>
        <v>0</v>
      </c>
      <c r="N210" s="2351">
        <f>'Part II-Development Team'!N7</f>
        <v>0</v>
      </c>
      <c r="O210" s="2359" t="s">
        <v>1733</v>
      </c>
      <c r="P210" s="2351"/>
      <c r="Q210" s="2372">
        <f>'Part II-Development Team'!Q7</f>
        <v>7068571414</v>
      </c>
      <c r="R210" s="2372">
        <f>'Part II-Development Team'!R7</f>
        <v>0</v>
      </c>
      <c r="S210" s="2372">
        <f>'Part II-Development Team'!S7</f>
        <v>0</v>
      </c>
    </row>
    <row r="211" spans="1:19">
      <c r="A211" s="2351"/>
      <c r="B211" s="2351"/>
      <c r="C211" s="2351"/>
      <c r="D211" s="2424"/>
      <c r="E211" s="2359" t="s">
        <v>1811</v>
      </c>
      <c r="F211" s="2351"/>
      <c r="G211" s="2351"/>
      <c r="H211" s="2359" t="str">
        <f>'Part II-Development Team'!H8</f>
        <v>GA</v>
      </c>
      <c r="I211" s="2356" t="s">
        <v>2244</v>
      </c>
      <c r="J211" s="2371">
        <f>'Part II-Development Team'!J8</f>
        <v>307470447</v>
      </c>
      <c r="K211" s="2371">
        <f>'Part II-Development Team'!K8</f>
        <v>0</v>
      </c>
      <c r="L211" s="2351" t="s">
        <v>3715</v>
      </c>
      <c r="M211" s="2351">
        <f>'Part II-Development Team'!M8</f>
        <v>0</v>
      </c>
      <c r="N211" s="2351">
        <f>'Part II-Development Team'!N8</f>
        <v>0</v>
      </c>
      <c r="O211" s="2359" t="s">
        <v>1994</v>
      </c>
      <c r="P211" s="2351"/>
      <c r="Q211" s="2372">
        <f>'Part II-Development Team'!Q8</f>
        <v>7067661095</v>
      </c>
      <c r="R211" s="2372">
        <f>'Part II-Development Team'!R8</f>
        <v>0</v>
      </c>
      <c r="S211" s="2372">
        <f>'Part II-Development Team'!S8</f>
        <v>0</v>
      </c>
    </row>
    <row r="212" spans="1:19">
      <c r="A212" s="2351"/>
      <c r="B212" s="2351"/>
      <c r="C212" s="2351"/>
      <c r="D212" s="2424"/>
      <c r="E212" s="2359" t="s">
        <v>4319</v>
      </c>
      <c r="F212" s="2351"/>
      <c r="G212" s="2351"/>
      <c r="H212" s="2372">
        <f>'Part II-Development Team'!H9</f>
        <v>7068571414</v>
      </c>
      <c r="I212" s="2372">
        <f>'Part II-Development Team'!I9</f>
        <v>0</v>
      </c>
      <c r="J212" s="2376">
        <f>'Part II-Development Team'!J9</f>
        <v>0</v>
      </c>
      <c r="K212" s="2356" t="s">
        <v>1999</v>
      </c>
      <c r="L212" s="2367" t="str">
        <f>'Part II-Development Team'!L9</f>
        <v>jerry@thebradengroup.com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4318</v>
      </c>
      <c r="F213" s="2351"/>
      <c r="G213" s="2351"/>
      <c r="H213" s="2416"/>
      <c r="I213" s="2351"/>
      <c r="J213" s="2351"/>
      <c r="K213" s="2363"/>
      <c r="L213" s="2351"/>
      <c r="M213" s="2351"/>
      <c r="N213" s="2348" t="s">
        <v>4546</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2000</v>
      </c>
      <c r="C215" s="2352" t="s">
        <v>1868</v>
      </c>
      <c r="D215" s="2351"/>
      <c r="E215" s="2351"/>
      <c r="F215" s="2352"/>
      <c r="G215" s="2352"/>
      <c r="H215" s="2352"/>
      <c r="I215" s="2352"/>
      <c r="J215" s="2351"/>
      <c r="K215" s="2351"/>
      <c r="L215" s="2351"/>
      <c r="M215" s="2351"/>
      <c r="N215" s="2426" t="s">
        <v>1295</v>
      </c>
      <c r="O215" s="2351"/>
      <c r="P215" s="2351"/>
      <c r="Q215" s="2351"/>
      <c r="R215" s="2351"/>
      <c r="S215" s="2351"/>
    </row>
    <row r="216" spans="1:19" ht="13.5">
      <c r="A216" s="2351"/>
      <c r="B216" s="2351"/>
      <c r="C216" s="2427" t="s">
        <v>2001</v>
      </c>
      <c r="D216" s="2401" t="s">
        <v>2002</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2131</v>
      </c>
      <c r="E217" s="2351" t="s">
        <v>1869</v>
      </c>
      <c r="F217" s="2351"/>
      <c r="G217" s="2351"/>
      <c r="H217" s="2351" t="str">
        <f>'Part II-Development Team'!H14</f>
        <v>Braden Laurens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2004</v>
      </c>
      <c r="P217" s="2359"/>
      <c r="Q217" s="2351" t="str">
        <f>'Part II-Development Team'!Q14</f>
        <v>Jerry W. Braden</v>
      </c>
      <c r="R217" s="2351">
        <f>'Part II-Development Team'!R14</f>
        <v>0</v>
      </c>
      <c r="S217" s="2351">
        <f>'Part II-Development Team'!S14</f>
        <v>0</v>
      </c>
    </row>
    <row r="218" spans="1:19">
      <c r="A218" s="2351"/>
      <c r="B218" s="2351"/>
      <c r="C218" s="2351"/>
      <c r="D218" s="2424"/>
      <c r="E218" s="2359" t="s">
        <v>1030</v>
      </c>
      <c r="F218" s="2362"/>
      <c r="G218" s="2351"/>
      <c r="H218" s="2351" t="str">
        <f>'Part II-Development Team'!H15</f>
        <v>135 North Washington Street</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1759</v>
      </c>
      <c r="P218" s="2351"/>
      <c r="Q218" s="2351" t="str">
        <f>'Part II-Development Team'!Q15</f>
        <v>Member</v>
      </c>
      <c r="R218" s="2351">
        <f>'Part II-Development Team'!R15</f>
        <v>0</v>
      </c>
      <c r="S218" s="2351">
        <f>'Part II-Development Team'!S15</f>
        <v>0</v>
      </c>
    </row>
    <row r="219" spans="1:19">
      <c r="A219" s="2351"/>
      <c r="B219" s="2351"/>
      <c r="C219" s="2351"/>
      <c r="D219" s="2424"/>
      <c r="E219" s="2359" t="s">
        <v>623</v>
      </c>
      <c r="F219" s="2351"/>
      <c r="G219" s="2351"/>
      <c r="H219" s="2351" t="str">
        <f>'Part II-Development Team'!H16</f>
        <v>Summerville</v>
      </c>
      <c r="I219" s="2351">
        <f>'Part II-Development Team'!I16</f>
        <v>0</v>
      </c>
      <c r="J219" s="2351">
        <f>'Part II-Development Team'!J16</f>
        <v>0</v>
      </c>
      <c r="K219" s="2356" t="s">
        <v>2721</v>
      </c>
      <c r="L219" s="2351">
        <f>'Part II-Development Team'!L16</f>
        <v>0</v>
      </c>
      <c r="M219" s="2351">
        <f>'Part II-Development Team'!M16</f>
        <v>0</v>
      </c>
      <c r="N219" s="2351">
        <f>'Part II-Development Team'!N16</f>
        <v>0</v>
      </c>
      <c r="O219" s="2359" t="s">
        <v>1733</v>
      </c>
      <c r="P219" s="2351"/>
      <c r="Q219" s="2372">
        <f>'Part II-Development Team'!Q16</f>
        <v>7068571414</v>
      </c>
      <c r="R219" s="2372">
        <f>'Part II-Development Team'!R16</f>
        <v>0</v>
      </c>
      <c r="S219" s="2372">
        <f>'Part II-Development Team'!S16</f>
        <v>0</v>
      </c>
    </row>
    <row r="220" spans="1:19">
      <c r="A220" s="2351"/>
      <c r="B220" s="2351"/>
      <c r="C220" s="2351"/>
      <c r="D220" s="2348"/>
      <c r="E220" s="2359" t="s">
        <v>1811</v>
      </c>
      <c r="F220" s="2351"/>
      <c r="G220" s="2351"/>
      <c r="H220" s="2359" t="str">
        <f>'Part II-Development Team'!H17</f>
        <v>GA</v>
      </c>
      <c r="I220" s="2351"/>
      <c r="J220" s="2351"/>
      <c r="K220" s="2356" t="s">
        <v>2244</v>
      </c>
      <c r="L220" s="2371">
        <f>'Part II-Development Team'!L17</f>
        <v>0</v>
      </c>
      <c r="M220" s="2371">
        <f>'Part II-Development Team'!M17</f>
        <v>0</v>
      </c>
      <c r="N220" s="2351"/>
      <c r="O220" s="2359" t="s">
        <v>1994</v>
      </c>
      <c r="P220" s="2351"/>
      <c r="Q220" s="2372">
        <f>'Part II-Development Team'!Q17</f>
        <v>7067661095</v>
      </c>
      <c r="R220" s="2372">
        <f>'Part II-Development Team'!R17</f>
        <v>0</v>
      </c>
      <c r="S220" s="2372">
        <f>'Part II-Development Team'!S17</f>
        <v>0</v>
      </c>
    </row>
    <row r="221" spans="1:19">
      <c r="A221" s="2351"/>
      <c r="B221" s="2351"/>
      <c r="C221" s="2351"/>
      <c r="D221" s="2424"/>
      <c r="E221" s="2359" t="s">
        <v>4319</v>
      </c>
      <c r="F221" s="2351"/>
      <c r="G221" s="2351"/>
      <c r="H221" s="2372">
        <f>'Part II-Development Team'!H18</f>
        <v>7068571414</v>
      </c>
      <c r="I221" s="2372">
        <f>'Part II-Development Team'!I18</f>
        <v>0</v>
      </c>
      <c r="J221" s="2376">
        <f>'Part II-Development Team'!J18</f>
        <v>0</v>
      </c>
      <c r="K221" s="2356" t="s">
        <v>1999</v>
      </c>
      <c r="L221" s="2367" t="str">
        <f>'Part II-Development Team'!L18</f>
        <v>jerry@thebradengroup.com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2132</v>
      </c>
      <c r="E223" s="2351" t="s">
        <v>1870</v>
      </c>
      <c r="F223" s="2351"/>
      <c r="G223" s="2351"/>
      <c r="H223" s="2351" t="str">
        <f>'Part II-Development Team'!H20</f>
        <v>None</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2004</v>
      </c>
      <c r="P223" s="2359"/>
      <c r="Q223" s="2351">
        <f>'Part II-Development Team'!Q20</f>
        <v>0</v>
      </c>
      <c r="R223" s="2351">
        <f>'Part II-Development Team'!R20</f>
        <v>0</v>
      </c>
      <c r="S223" s="2351">
        <f>'Part II-Development Team'!S20</f>
        <v>0</v>
      </c>
    </row>
    <row r="224" spans="1:19">
      <c r="A224" s="2351"/>
      <c r="B224" s="2351"/>
      <c r="C224" s="2351"/>
      <c r="D224" s="2424"/>
      <c r="E224" s="2359" t="s">
        <v>1030</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1759</v>
      </c>
      <c r="P224" s="2351"/>
      <c r="Q224" s="2351">
        <f>'Part II-Development Team'!Q21</f>
        <v>0</v>
      </c>
      <c r="R224" s="2351">
        <f>'Part II-Development Team'!R21</f>
        <v>0</v>
      </c>
      <c r="S224" s="2351">
        <f>'Part II-Development Team'!S21</f>
        <v>0</v>
      </c>
    </row>
    <row r="225" spans="1:19">
      <c r="A225" s="2351"/>
      <c r="B225" s="2351"/>
      <c r="C225" s="2351"/>
      <c r="D225" s="2424"/>
      <c r="E225" s="2359" t="s">
        <v>623</v>
      </c>
      <c r="F225" s="2351"/>
      <c r="G225" s="2351"/>
      <c r="H225" s="2351">
        <f>'Part II-Development Team'!H22</f>
        <v>0</v>
      </c>
      <c r="I225" s="2351">
        <f>'Part II-Development Team'!I22</f>
        <v>0</v>
      </c>
      <c r="J225" s="2351">
        <f>'Part II-Development Team'!J22</f>
        <v>0</v>
      </c>
      <c r="K225" s="2356" t="s">
        <v>2721</v>
      </c>
      <c r="L225" s="2351">
        <f>'Part II-Development Team'!L22</f>
        <v>0</v>
      </c>
      <c r="M225" s="2351">
        <f>'Part II-Development Team'!M22</f>
        <v>0</v>
      </c>
      <c r="N225" s="2351">
        <f>'Part II-Development Team'!N22</f>
        <v>0</v>
      </c>
      <c r="O225" s="2359" t="s">
        <v>1733</v>
      </c>
      <c r="P225" s="2351"/>
      <c r="Q225" s="2372">
        <f>'Part II-Development Team'!Q22</f>
        <v>0</v>
      </c>
      <c r="R225" s="2372">
        <f>'Part II-Development Team'!R22</f>
        <v>0</v>
      </c>
      <c r="S225" s="2372">
        <f>'Part II-Development Team'!S22</f>
        <v>0</v>
      </c>
    </row>
    <row r="226" spans="1:19">
      <c r="A226" s="2351"/>
      <c r="B226" s="2351"/>
      <c r="C226" s="2351"/>
      <c r="D226" s="2351"/>
      <c r="E226" s="2359" t="s">
        <v>1811</v>
      </c>
      <c r="F226" s="2351"/>
      <c r="G226" s="2351"/>
      <c r="H226" s="2359">
        <f>'Part II-Development Team'!H23</f>
        <v>0</v>
      </c>
      <c r="I226" s="2351"/>
      <c r="J226" s="2351"/>
      <c r="K226" s="2356" t="s">
        <v>2244</v>
      </c>
      <c r="L226" s="2371">
        <f>'Part II-Development Team'!L23</f>
        <v>0</v>
      </c>
      <c r="M226" s="2371">
        <f>'Part II-Development Team'!M23</f>
        <v>0</v>
      </c>
      <c r="N226" s="2351"/>
      <c r="O226" s="2359" t="s">
        <v>1994</v>
      </c>
      <c r="P226" s="2351"/>
      <c r="Q226" s="2372">
        <f>'Part II-Development Team'!Q23</f>
        <v>0</v>
      </c>
      <c r="R226" s="2372">
        <f>'Part II-Development Team'!R23</f>
        <v>0</v>
      </c>
      <c r="S226" s="2372">
        <f>'Part II-Development Team'!S23</f>
        <v>0</v>
      </c>
    </row>
    <row r="227" spans="1:19">
      <c r="A227" s="2351"/>
      <c r="B227" s="2351"/>
      <c r="C227" s="2351"/>
      <c r="D227" s="2424"/>
      <c r="E227" s="2359" t="s">
        <v>4319</v>
      </c>
      <c r="F227" s="2351"/>
      <c r="G227" s="2351"/>
      <c r="H227" s="2372">
        <f>'Part II-Development Team'!H24</f>
        <v>0</v>
      </c>
      <c r="I227" s="2372">
        <f>'Part II-Development Team'!I24</f>
        <v>0</v>
      </c>
      <c r="J227" s="2376">
        <f>'Part II-Development Team'!J24</f>
        <v>0</v>
      </c>
      <c r="K227" s="2356" t="s">
        <v>1999</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1746</v>
      </c>
      <c r="E229" s="2351" t="s">
        <v>1870</v>
      </c>
      <c r="F229" s="2351"/>
      <c r="G229" s="2351"/>
      <c r="H229" s="2351" t="str">
        <f>'Part II-Development Team'!H26</f>
        <v>None</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2004</v>
      </c>
      <c r="P229" s="2359"/>
      <c r="Q229" s="2351">
        <f>'Part II-Development Team'!Q26</f>
        <v>0</v>
      </c>
      <c r="R229" s="2351">
        <f>'Part II-Development Team'!R26</f>
        <v>0</v>
      </c>
      <c r="S229" s="2351">
        <f>'Part II-Development Team'!S26</f>
        <v>0</v>
      </c>
    </row>
    <row r="230" spans="1:19">
      <c r="A230" s="2351"/>
      <c r="B230" s="2351"/>
      <c r="C230" s="2351"/>
      <c r="D230" s="2424"/>
      <c r="E230" s="2359" t="s">
        <v>1030</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1759</v>
      </c>
      <c r="P230" s="2351"/>
      <c r="Q230" s="2351">
        <f>'Part II-Development Team'!Q27</f>
        <v>0</v>
      </c>
      <c r="R230" s="2351">
        <f>'Part II-Development Team'!R27</f>
        <v>0</v>
      </c>
      <c r="S230" s="2351">
        <f>'Part II-Development Team'!S27</f>
        <v>0</v>
      </c>
    </row>
    <row r="231" spans="1:19">
      <c r="A231" s="2351"/>
      <c r="B231" s="2351"/>
      <c r="C231" s="2351"/>
      <c r="D231" s="2424"/>
      <c r="E231" s="2359" t="s">
        <v>623</v>
      </c>
      <c r="F231" s="2351"/>
      <c r="G231" s="2351"/>
      <c r="H231" s="2351">
        <f>'Part II-Development Team'!H28</f>
        <v>0</v>
      </c>
      <c r="I231" s="2351">
        <f>'Part II-Development Team'!I28</f>
        <v>0</v>
      </c>
      <c r="J231" s="2351">
        <f>'Part II-Development Team'!J28</f>
        <v>0</v>
      </c>
      <c r="K231" s="2356" t="s">
        <v>2721</v>
      </c>
      <c r="L231" s="2351">
        <f>'Part II-Development Team'!L28</f>
        <v>0</v>
      </c>
      <c r="M231" s="2351">
        <f>'Part II-Development Team'!M28</f>
        <v>0</v>
      </c>
      <c r="N231" s="2351">
        <f>'Part II-Development Team'!N28</f>
        <v>0</v>
      </c>
      <c r="O231" s="2359" t="s">
        <v>1733</v>
      </c>
      <c r="P231" s="2351"/>
      <c r="Q231" s="2372">
        <f>'Part II-Development Team'!Q28</f>
        <v>0</v>
      </c>
      <c r="R231" s="2372">
        <f>'Part II-Development Team'!R28</f>
        <v>0</v>
      </c>
      <c r="S231" s="2372">
        <f>'Part II-Development Team'!S28</f>
        <v>0</v>
      </c>
    </row>
    <row r="232" spans="1:19">
      <c r="A232" s="2351"/>
      <c r="B232" s="2351"/>
      <c r="C232" s="2351"/>
      <c r="D232" s="2351"/>
      <c r="E232" s="2359" t="s">
        <v>1811</v>
      </c>
      <c r="F232" s="2351"/>
      <c r="G232" s="2351"/>
      <c r="H232" s="2359">
        <f>'Part II-Development Team'!H29</f>
        <v>0</v>
      </c>
      <c r="I232" s="2351"/>
      <c r="J232" s="2351"/>
      <c r="K232" s="2356" t="s">
        <v>2244</v>
      </c>
      <c r="L232" s="2371">
        <f>'Part II-Development Team'!L29</f>
        <v>0</v>
      </c>
      <c r="M232" s="2371">
        <f>'Part II-Development Team'!M29</f>
        <v>0</v>
      </c>
      <c r="N232" s="2351"/>
      <c r="O232" s="2359" t="s">
        <v>1994</v>
      </c>
      <c r="P232" s="2351"/>
      <c r="Q232" s="2372">
        <f>'Part II-Development Team'!Q29</f>
        <v>0</v>
      </c>
      <c r="R232" s="2372">
        <f>'Part II-Development Team'!R29</f>
        <v>0</v>
      </c>
      <c r="S232" s="2372">
        <f>'Part II-Development Team'!S29</f>
        <v>0</v>
      </c>
    </row>
    <row r="233" spans="1:19">
      <c r="A233" s="2351"/>
      <c r="B233" s="2351"/>
      <c r="C233" s="2351"/>
      <c r="D233" s="2424"/>
      <c r="E233" s="2359" t="s">
        <v>4319</v>
      </c>
      <c r="F233" s="2351"/>
      <c r="G233" s="2351"/>
      <c r="H233" s="2372">
        <f>'Part II-Development Team'!H30</f>
        <v>0</v>
      </c>
      <c r="I233" s="2372">
        <f>'Part II-Development Team'!I30</f>
        <v>0</v>
      </c>
      <c r="J233" s="2376">
        <f>'Part II-Development Team'!J30</f>
        <v>0</v>
      </c>
      <c r="K233" s="2356" t="s">
        <v>1999</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2003</v>
      </c>
      <c r="D235" s="2401" t="s">
        <v>1872</v>
      </c>
      <c r="E235" s="2351"/>
      <c r="F235" s="2351"/>
      <c r="G235" s="2351"/>
      <c r="H235" s="2351"/>
      <c r="I235" s="2351"/>
      <c r="J235" s="2351"/>
      <c r="K235" s="2353" t="s">
        <v>4318</v>
      </c>
      <c r="L235" s="2351"/>
      <c r="M235" s="2351"/>
      <c r="N235" s="2351"/>
      <c r="O235" s="2351"/>
      <c r="P235" s="2351"/>
      <c r="Q235" s="2351"/>
      <c r="R235" s="2351"/>
      <c r="S235" s="2351"/>
    </row>
    <row r="236" spans="1:19">
      <c r="A236" s="2351"/>
      <c r="B236" s="2351"/>
      <c r="C236" s="2351"/>
      <c r="D236" s="2348" t="s">
        <v>2131</v>
      </c>
      <c r="E236" s="2351" t="s">
        <v>757</v>
      </c>
      <c r="F236" s="2351"/>
      <c r="G236" s="2351"/>
      <c r="H236" s="2351" t="str">
        <f>'Part II-Development Team'!H33</f>
        <v>Raymond James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2004</v>
      </c>
      <c r="P236" s="2359"/>
      <c r="Q236" s="2351" t="str">
        <f>'Part II-Development Team'!Q33</f>
        <v>Gary Robinson</v>
      </c>
      <c r="R236" s="2351">
        <f>'Part II-Development Team'!R33</f>
        <v>0</v>
      </c>
      <c r="S236" s="2351">
        <f>'Part II-Development Team'!S33</f>
        <v>0</v>
      </c>
    </row>
    <row r="237" spans="1:19">
      <c r="A237" s="2351"/>
      <c r="B237" s="2351"/>
      <c r="C237" s="2351"/>
      <c r="D237" s="2424"/>
      <c r="E237" s="2359" t="s">
        <v>1030</v>
      </c>
      <c r="F237" s="2362"/>
      <c r="G237" s="2351"/>
      <c r="H237" s="2351" t="str">
        <f>'Part II-Development Team'!H34</f>
        <v>880 Carrillon Parkway</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1759</v>
      </c>
      <c r="P237" s="2351"/>
      <c r="Q237" s="2351" t="str">
        <f>'Part II-Development Team'!Q34</f>
        <v>Acquisitions Manager</v>
      </c>
      <c r="R237" s="2351">
        <f>'Part II-Development Team'!R34</f>
        <v>0</v>
      </c>
      <c r="S237" s="2351">
        <f>'Part II-Development Team'!S34</f>
        <v>0</v>
      </c>
    </row>
    <row r="238" spans="1:19">
      <c r="A238" s="2351"/>
      <c r="B238" s="2351"/>
      <c r="C238" s="2351"/>
      <c r="D238" s="2424"/>
      <c r="E238" s="2359" t="s">
        <v>623</v>
      </c>
      <c r="F238" s="2351"/>
      <c r="G238" s="2351"/>
      <c r="H238" s="2351" t="str">
        <f>'Part II-Development Team'!H35</f>
        <v>St. Petersburg</v>
      </c>
      <c r="I238" s="2351">
        <f>'Part II-Development Team'!I35</f>
        <v>0</v>
      </c>
      <c r="J238" s="2351">
        <f>'Part II-Development Team'!J35</f>
        <v>0</v>
      </c>
      <c r="K238" s="2356" t="s">
        <v>2721</v>
      </c>
      <c r="L238" s="2351">
        <f>'Part II-Development Team'!L35</f>
        <v>0</v>
      </c>
      <c r="M238" s="2351">
        <f>'Part II-Development Team'!M35</f>
        <v>0</v>
      </c>
      <c r="N238" s="2351">
        <f>'Part II-Development Team'!N35</f>
        <v>0</v>
      </c>
      <c r="O238" s="2359" t="s">
        <v>1733</v>
      </c>
      <c r="P238" s="2351"/>
      <c r="Q238" s="2372">
        <f>'Part II-Development Team'!Q35</f>
        <v>8002488863</v>
      </c>
      <c r="R238" s="2372">
        <f>'Part II-Development Team'!R35</f>
        <v>0</v>
      </c>
      <c r="S238" s="2372">
        <f>'Part II-Development Team'!S35</f>
        <v>0</v>
      </c>
    </row>
    <row r="239" spans="1:19">
      <c r="A239" s="2351"/>
      <c r="B239" s="2351"/>
      <c r="C239" s="2351"/>
      <c r="D239" s="2351"/>
      <c r="E239" s="2359" t="s">
        <v>1811</v>
      </c>
      <c r="F239" s="2351"/>
      <c r="G239" s="2351"/>
      <c r="H239" s="2359" t="str">
        <f>'Part II-Development Team'!H36</f>
        <v>FL</v>
      </c>
      <c r="I239" s="2351"/>
      <c r="J239" s="2351"/>
      <c r="K239" s="2356" t="s">
        <v>2244</v>
      </c>
      <c r="L239" s="2371">
        <f>'Part II-Development Team'!L36</f>
        <v>0</v>
      </c>
      <c r="M239" s="2371">
        <f>'Part II-Development Team'!M36</f>
        <v>0</v>
      </c>
      <c r="N239" s="2351"/>
      <c r="O239" s="2359" t="s">
        <v>1994</v>
      </c>
      <c r="P239" s="2351"/>
      <c r="Q239" s="2372">
        <f>'Part II-Development Team'!Q36</f>
        <v>0</v>
      </c>
      <c r="R239" s="2372">
        <f>'Part II-Development Team'!R36</f>
        <v>0</v>
      </c>
      <c r="S239" s="2372">
        <f>'Part II-Development Team'!S36</f>
        <v>0</v>
      </c>
    </row>
    <row r="240" spans="1:19">
      <c r="A240" s="2351"/>
      <c r="B240" s="2351"/>
      <c r="C240" s="2351"/>
      <c r="D240" s="2424"/>
      <c r="E240" s="2359" t="s">
        <v>4319</v>
      </c>
      <c r="F240" s="2351"/>
      <c r="G240" s="2351"/>
      <c r="H240" s="2372">
        <f>'Part II-Development Team'!H37</f>
        <v>8002488863</v>
      </c>
      <c r="I240" s="2372">
        <f>'Part II-Development Team'!I37</f>
        <v>0</v>
      </c>
      <c r="J240" s="2376">
        <f>'Part II-Development Team'!J37</f>
        <v>0</v>
      </c>
      <c r="K240" s="2356" t="s">
        <v>1999</v>
      </c>
      <c r="L240" s="2367" t="str">
        <f>'Part II-Development Team'!L37</f>
        <v>gary.k.robinson@raymondjames.com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2132</v>
      </c>
      <c r="E242" s="2351" t="s">
        <v>758</v>
      </c>
      <c r="F242" s="2348"/>
      <c r="G242" s="2351"/>
      <c r="H242" s="2351" t="str">
        <f>'Part II-Development Team'!H39</f>
        <v>Raymond James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2004</v>
      </c>
      <c r="P242" s="2359"/>
      <c r="Q242" s="2351" t="str">
        <f>'Part II-Development Team'!Q39</f>
        <v>Gary Robinson</v>
      </c>
      <c r="R242" s="2351">
        <f>'Part II-Development Team'!R39</f>
        <v>0</v>
      </c>
      <c r="S242" s="2351">
        <f>'Part II-Development Team'!S39</f>
        <v>0</v>
      </c>
    </row>
    <row r="243" spans="1:19">
      <c r="A243" s="2351"/>
      <c r="B243" s="2351"/>
      <c r="C243" s="2351"/>
      <c r="D243" s="2424"/>
      <c r="E243" s="2359" t="s">
        <v>1030</v>
      </c>
      <c r="F243" s="2362"/>
      <c r="G243" s="2351"/>
      <c r="H243" s="2351" t="str">
        <f>'Part II-Development Team'!H40</f>
        <v>880 Carrillon Parkway</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1759</v>
      </c>
      <c r="P243" s="2351"/>
      <c r="Q243" s="2351" t="str">
        <f>'Part II-Development Team'!Q40</f>
        <v>Acquisitions Manager</v>
      </c>
      <c r="R243" s="2351">
        <f>'Part II-Development Team'!R40</f>
        <v>0</v>
      </c>
      <c r="S243" s="2351">
        <f>'Part II-Development Team'!S40</f>
        <v>0</v>
      </c>
    </row>
    <row r="244" spans="1:19">
      <c r="A244" s="2351"/>
      <c r="B244" s="2351"/>
      <c r="C244" s="2351"/>
      <c r="D244" s="2424"/>
      <c r="E244" s="2359" t="s">
        <v>623</v>
      </c>
      <c r="F244" s="2351"/>
      <c r="G244" s="2351"/>
      <c r="H244" s="2351" t="str">
        <f>'Part II-Development Team'!H41</f>
        <v>St. Petersburg</v>
      </c>
      <c r="I244" s="2351">
        <f>'Part II-Development Team'!I41</f>
        <v>0</v>
      </c>
      <c r="J244" s="2351">
        <f>'Part II-Development Team'!J41</f>
        <v>0</v>
      </c>
      <c r="K244" s="2356" t="s">
        <v>2721</v>
      </c>
      <c r="L244" s="2351">
        <f>'Part II-Development Team'!L41</f>
        <v>0</v>
      </c>
      <c r="M244" s="2351">
        <f>'Part II-Development Team'!M41</f>
        <v>0</v>
      </c>
      <c r="N244" s="2351">
        <f>'Part II-Development Team'!N41</f>
        <v>0</v>
      </c>
      <c r="O244" s="2359" t="s">
        <v>1733</v>
      </c>
      <c r="P244" s="2351"/>
      <c r="Q244" s="2372">
        <f>'Part II-Development Team'!Q41</f>
        <v>8002488863</v>
      </c>
      <c r="R244" s="2372">
        <f>'Part II-Development Team'!R41</f>
        <v>0</v>
      </c>
      <c r="S244" s="2372">
        <f>'Part II-Development Team'!S41</f>
        <v>0</v>
      </c>
    </row>
    <row r="245" spans="1:19">
      <c r="A245" s="2351"/>
      <c r="B245" s="2351"/>
      <c r="C245" s="2351"/>
      <c r="D245" s="2348"/>
      <c r="E245" s="2359" t="s">
        <v>1811</v>
      </c>
      <c r="F245" s="2351"/>
      <c r="G245" s="2351"/>
      <c r="H245" s="2359" t="str">
        <f>'Part II-Development Team'!H42</f>
        <v>FL</v>
      </c>
      <c r="I245" s="2351"/>
      <c r="J245" s="2351"/>
      <c r="K245" s="2356" t="s">
        <v>2244</v>
      </c>
      <c r="L245" s="2371">
        <f>'Part II-Development Team'!L42</f>
        <v>307160000</v>
      </c>
      <c r="M245" s="2371">
        <f>'Part II-Development Team'!M42</f>
        <v>0</v>
      </c>
      <c r="N245" s="2351"/>
      <c r="O245" s="2359" t="s">
        <v>1994</v>
      </c>
      <c r="P245" s="2351"/>
      <c r="Q245" s="2372">
        <f>'Part II-Development Team'!Q42</f>
        <v>0</v>
      </c>
      <c r="R245" s="2372">
        <f>'Part II-Development Team'!R42</f>
        <v>0</v>
      </c>
      <c r="S245" s="2372">
        <f>'Part II-Development Team'!S42</f>
        <v>0</v>
      </c>
    </row>
    <row r="246" spans="1:19">
      <c r="A246" s="2351"/>
      <c r="B246" s="2351"/>
      <c r="C246" s="2351"/>
      <c r="D246" s="2424"/>
      <c r="E246" s="2359" t="s">
        <v>4319</v>
      </c>
      <c r="F246" s="2351"/>
      <c r="G246" s="2351"/>
      <c r="H246" s="2372">
        <f>'Part II-Development Team'!H43</f>
        <v>8002488863</v>
      </c>
      <c r="I246" s="2372">
        <f>'Part II-Development Team'!I43</f>
        <v>0</v>
      </c>
      <c r="J246" s="2376">
        <f>'Part II-Development Team'!J43</f>
        <v>0</v>
      </c>
      <c r="K246" s="2356" t="s">
        <v>1999</v>
      </c>
      <c r="L246" s="2367" t="str">
        <f>'Part II-Development Team'!L43</f>
        <v>gary.k.robinson@raymondjames.com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2550</v>
      </c>
      <c r="D248" s="2401" t="s">
        <v>656</v>
      </c>
      <c r="E248" s="2351"/>
      <c r="F248" s="2351"/>
      <c r="G248" s="2351"/>
      <c r="H248" s="2351"/>
      <c r="I248" s="2351"/>
      <c r="J248" s="2351"/>
      <c r="K248" s="2353" t="s">
        <v>4318</v>
      </c>
      <c r="L248" s="2351"/>
      <c r="M248" s="2351"/>
      <c r="N248" s="2351"/>
      <c r="O248" s="2351"/>
      <c r="P248" s="2351"/>
      <c r="Q248" s="2351"/>
      <c r="R248" s="2351"/>
      <c r="S248" s="2351"/>
    </row>
    <row r="249" spans="1:19">
      <c r="A249" s="2351"/>
      <c r="B249" s="2351"/>
      <c r="C249" s="2351"/>
      <c r="D249" s="2351"/>
      <c r="E249" s="2351" t="s">
        <v>93</v>
      </c>
      <c r="F249" s="2351"/>
      <c r="G249" s="2351"/>
      <c r="H249" s="2351" t="str">
        <f>'Part II-Development Team'!H46</f>
        <v>None</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2004</v>
      </c>
      <c r="P249" s="2359"/>
      <c r="Q249" s="2351">
        <f>'Part II-Development Team'!Q46</f>
        <v>0</v>
      </c>
      <c r="R249" s="2351">
        <f>'Part II-Development Team'!R46</f>
        <v>0</v>
      </c>
      <c r="S249" s="2351">
        <f>'Part II-Development Team'!S46</f>
        <v>0</v>
      </c>
    </row>
    <row r="250" spans="1:19">
      <c r="A250" s="2351"/>
      <c r="B250" s="2351"/>
      <c r="C250" s="2351"/>
      <c r="D250" s="2424"/>
      <c r="E250" s="2359" t="s">
        <v>1030</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1759</v>
      </c>
      <c r="P250" s="2351"/>
      <c r="Q250" s="2351">
        <f>'Part II-Development Team'!Q47</f>
        <v>0</v>
      </c>
      <c r="R250" s="2351">
        <f>'Part II-Development Team'!R47</f>
        <v>0</v>
      </c>
      <c r="S250" s="2351">
        <f>'Part II-Development Team'!S47</f>
        <v>0</v>
      </c>
    </row>
    <row r="251" spans="1:19">
      <c r="A251" s="2351"/>
      <c r="B251" s="2351"/>
      <c r="C251" s="2351"/>
      <c r="D251" s="2424"/>
      <c r="E251" s="2359" t="s">
        <v>623</v>
      </c>
      <c r="F251" s="2351"/>
      <c r="G251" s="2351"/>
      <c r="H251" s="2351">
        <f>'Part II-Development Team'!H48</f>
        <v>0</v>
      </c>
      <c r="I251" s="2351">
        <f>'Part II-Development Team'!I48</f>
        <v>0</v>
      </c>
      <c r="J251" s="2351">
        <f>'Part II-Development Team'!J48</f>
        <v>0</v>
      </c>
      <c r="K251" s="2356" t="s">
        <v>2721</v>
      </c>
      <c r="L251" s="2351">
        <f>'Part II-Development Team'!L48</f>
        <v>0</v>
      </c>
      <c r="M251" s="2351">
        <f>'Part II-Development Team'!M48</f>
        <v>0</v>
      </c>
      <c r="N251" s="2351">
        <f>'Part II-Development Team'!N48</f>
        <v>0</v>
      </c>
      <c r="O251" s="2359" t="s">
        <v>1733</v>
      </c>
      <c r="P251" s="2351"/>
      <c r="Q251" s="2372">
        <f>'Part II-Development Team'!Q48</f>
        <v>0</v>
      </c>
      <c r="R251" s="2372">
        <f>'Part II-Development Team'!R48</f>
        <v>0</v>
      </c>
      <c r="S251" s="2372">
        <f>'Part II-Development Team'!S48</f>
        <v>0</v>
      </c>
    </row>
    <row r="252" spans="1:19">
      <c r="A252" s="2351"/>
      <c r="B252" s="2351"/>
      <c r="C252" s="2351"/>
      <c r="D252" s="2351"/>
      <c r="E252" s="2359" t="s">
        <v>1811</v>
      </c>
      <c r="F252" s="2351"/>
      <c r="G252" s="2351"/>
      <c r="H252" s="2359">
        <f>'Part II-Development Team'!H49</f>
        <v>0</v>
      </c>
      <c r="I252" s="2351"/>
      <c r="J252" s="2351"/>
      <c r="K252" s="2356" t="s">
        <v>2244</v>
      </c>
      <c r="L252" s="2371">
        <f>'Part II-Development Team'!L49</f>
        <v>0</v>
      </c>
      <c r="M252" s="2371">
        <f>'Part II-Development Team'!M49</f>
        <v>0</v>
      </c>
      <c r="N252" s="2351"/>
      <c r="O252" s="2359" t="s">
        <v>1994</v>
      </c>
      <c r="P252" s="2351"/>
      <c r="Q252" s="2372">
        <f>'Part II-Development Team'!Q49</f>
        <v>0</v>
      </c>
      <c r="R252" s="2372">
        <f>'Part II-Development Team'!R49</f>
        <v>0</v>
      </c>
      <c r="S252" s="2372">
        <f>'Part II-Development Team'!S49</f>
        <v>0</v>
      </c>
    </row>
    <row r="253" spans="1:19">
      <c r="A253" s="2351"/>
      <c r="B253" s="2351"/>
      <c r="C253" s="2351"/>
      <c r="D253" s="2424"/>
      <c r="E253" s="2359" t="s">
        <v>4319</v>
      </c>
      <c r="F253" s="2351"/>
      <c r="G253" s="2351"/>
      <c r="H253" s="2372">
        <f>'Part II-Development Team'!H50</f>
        <v>0</v>
      </c>
      <c r="I253" s="2372">
        <f>'Part II-Development Team'!I50</f>
        <v>0</v>
      </c>
      <c r="J253" s="2376">
        <f>'Part II-Development Team'!J50</f>
        <v>0</v>
      </c>
      <c r="K253" s="2356" t="s">
        <v>1999</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747</v>
      </c>
      <c r="B255" s="2348" t="s">
        <v>657</v>
      </c>
      <c r="C255" s="2351"/>
      <c r="D255" s="2351"/>
      <c r="E255" s="2351"/>
      <c r="F255" s="2348"/>
      <c r="G255" s="2356"/>
      <c r="H255" s="2356"/>
      <c r="I255" s="2356"/>
      <c r="J255" s="2351"/>
      <c r="K255" s="2353" t="s">
        <v>4318</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1998</v>
      </c>
      <c r="C257" s="2348" t="s">
        <v>284</v>
      </c>
      <c r="D257" s="2351"/>
      <c r="E257" s="2351"/>
      <c r="F257" s="2351"/>
      <c r="G257" s="2351"/>
      <c r="H257" s="2351" t="str">
        <f>'Part II-Development Team'!H54</f>
        <v>Braden Development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2004</v>
      </c>
      <c r="P257" s="2359"/>
      <c r="Q257" s="2351" t="str">
        <f>'Part II-Development Team'!Q54</f>
        <v>Jerry W. Braden</v>
      </c>
      <c r="R257" s="2351">
        <f>'Part II-Development Team'!R54</f>
        <v>0</v>
      </c>
      <c r="S257" s="2351">
        <f>'Part II-Development Team'!S54</f>
        <v>0</v>
      </c>
    </row>
    <row r="258" spans="1:19">
      <c r="A258" s="2351"/>
      <c r="B258" s="2351"/>
      <c r="C258" s="2351"/>
      <c r="D258" s="2424"/>
      <c r="E258" s="2359" t="s">
        <v>1030</v>
      </c>
      <c r="F258" s="2362"/>
      <c r="G258" s="2351"/>
      <c r="H258" s="2351" t="str">
        <f>'Part II-Development Team'!H55</f>
        <v>135  North Washington street</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1759</v>
      </c>
      <c r="P258" s="2351"/>
      <c r="Q258" s="2351" t="str">
        <f>'Part II-Development Team'!Q55</f>
        <v>Member</v>
      </c>
      <c r="R258" s="2351">
        <f>'Part II-Development Team'!R55</f>
        <v>0</v>
      </c>
      <c r="S258" s="2351">
        <f>'Part II-Development Team'!S55</f>
        <v>0</v>
      </c>
    </row>
    <row r="259" spans="1:19">
      <c r="A259" s="2351"/>
      <c r="B259" s="2351"/>
      <c r="C259" s="2351"/>
      <c r="D259" s="2424"/>
      <c r="E259" s="2359" t="s">
        <v>623</v>
      </c>
      <c r="F259" s="2351"/>
      <c r="G259" s="2351"/>
      <c r="H259" s="2351" t="str">
        <f>'Part II-Development Team'!H56</f>
        <v>Summerville</v>
      </c>
      <c r="I259" s="2351">
        <f>'Part II-Development Team'!I56</f>
        <v>0</v>
      </c>
      <c r="J259" s="2351">
        <f>'Part II-Development Team'!J56</f>
        <v>0</v>
      </c>
      <c r="K259" s="2356" t="s">
        <v>2721</v>
      </c>
      <c r="L259" s="2351">
        <f>'Part II-Development Team'!L56</f>
        <v>0</v>
      </c>
      <c r="M259" s="2351">
        <f>'Part II-Development Team'!M56</f>
        <v>0</v>
      </c>
      <c r="N259" s="2351">
        <f>'Part II-Development Team'!N56</f>
        <v>0</v>
      </c>
      <c r="O259" s="2359" t="s">
        <v>1733</v>
      </c>
      <c r="P259" s="2351"/>
      <c r="Q259" s="2372">
        <f>'Part II-Development Team'!Q56</f>
        <v>7068571414</v>
      </c>
      <c r="R259" s="2372">
        <f>'Part II-Development Team'!R56</f>
        <v>0</v>
      </c>
      <c r="S259" s="2372">
        <f>'Part II-Development Team'!S56</f>
        <v>0</v>
      </c>
    </row>
    <row r="260" spans="1:19">
      <c r="A260" s="2351"/>
      <c r="B260" s="2351"/>
      <c r="C260" s="2351"/>
      <c r="D260" s="2351"/>
      <c r="E260" s="2359" t="s">
        <v>1811</v>
      </c>
      <c r="F260" s="2351"/>
      <c r="G260" s="2351"/>
      <c r="H260" s="2359" t="str">
        <f>'Part II-Development Team'!H57</f>
        <v>GA</v>
      </c>
      <c r="I260" s="2351"/>
      <c r="J260" s="2351"/>
      <c r="K260" s="2356" t="s">
        <v>2244</v>
      </c>
      <c r="L260" s="2371">
        <f>'Part II-Development Team'!L57</f>
        <v>307470000</v>
      </c>
      <c r="M260" s="2371">
        <f>'Part II-Development Team'!M57</f>
        <v>0</v>
      </c>
      <c r="N260" s="2351"/>
      <c r="O260" s="2359" t="s">
        <v>1994</v>
      </c>
      <c r="P260" s="2351"/>
      <c r="Q260" s="2372">
        <f>'Part II-Development Team'!Q57</f>
        <v>7067661095</v>
      </c>
      <c r="R260" s="2372">
        <f>'Part II-Development Team'!R57</f>
        <v>0</v>
      </c>
      <c r="S260" s="2372">
        <f>'Part II-Development Team'!S57</f>
        <v>0</v>
      </c>
    </row>
    <row r="261" spans="1:19">
      <c r="A261" s="2351"/>
      <c r="B261" s="2351"/>
      <c r="C261" s="2351"/>
      <c r="D261" s="2424"/>
      <c r="E261" s="2359" t="s">
        <v>4319</v>
      </c>
      <c r="F261" s="2351"/>
      <c r="G261" s="2351"/>
      <c r="H261" s="2372">
        <f>'Part II-Development Team'!H58</f>
        <v>7068571414</v>
      </c>
      <c r="I261" s="2372">
        <f>'Part II-Development Team'!I58</f>
        <v>0</v>
      </c>
      <c r="J261" s="2376">
        <f>'Part II-Development Team'!J58</f>
        <v>0</v>
      </c>
      <c r="K261" s="2356" t="s">
        <v>1999</v>
      </c>
      <c r="L261" s="2367" t="str">
        <f>'Part II-Development Team'!L58</f>
        <v>jerry@thebradengroup.com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2000</v>
      </c>
      <c r="C263" s="2348" t="s">
        <v>285</v>
      </c>
      <c r="D263" s="2351"/>
      <c r="E263" s="2351"/>
      <c r="F263" s="2351"/>
      <c r="G263" s="2351"/>
      <c r="H263" s="2351" t="str">
        <f>'Part II-Development Team'!H60</f>
        <v>None</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2004</v>
      </c>
      <c r="P263" s="2359"/>
      <c r="Q263" s="2351">
        <f>'Part II-Development Team'!Q60</f>
        <v>0</v>
      </c>
      <c r="R263" s="2351">
        <f>'Part II-Development Team'!R60</f>
        <v>0</v>
      </c>
      <c r="S263" s="2351">
        <f>'Part II-Development Team'!S60</f>
        <v>0</v>
      </c>
    </row>
    <row r="264" spans="1:19">
      <c r="A264" s="2351"/>
      <c r="B264" s="2351"/>
      <c r="C264" s="2351"/>
      <c r="D264" s="2424"/>
      <c r="E264" s="2359" t="s">
        <v>1030</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1759</v>
      </c>
      <c r="P264" s="2351"/>
      <c r="Q264" s="2351">
        <f>'Part II-Development Team'!Q61</f>
        <v>0</v>
      </c>
      <c r="R264" s="2351">
        <f>'Part II-Development Team'!R61</f>
        <v>0</v>
      </c>
      <c r="S264" s="2351">
        <f>'Part II-Development Team'!S61</f>
        <v>0</v>
      </c>
    </row>
    <row r="265" spans="1:19">
      <c r="A265" s="2351"/>
      <c r="B265" s="2351"/>
      <c r="C265" s="2351"/>
      <c r="D265" s="2424"/>
      <c r="E265" s="2359" t="s">
        <v>623</v>
      </c>
      <c r="F265" s="2351"/>
      <c r="G265" s="2351"/>
      <c r="H265" s="2351">
        <f>'Part II-Development Team'!H62</f>
        <v>0</v>
      </c>
      <c r="I265" s="2351">
        <f>'Part II-Development Team'!I62</f>
        <v>0</v>
      </c>
      <c r="J265" s="2351">
        <f>'Part II-Development Team'!J62</f>
        <v>0</v>
      </c>
      <c r="K265" s="2356" t="s">
        <v>2721</v>
      </c>
      <c r="L265" s="2351">
        <f>'Part II-Development Team'!L62</f>
        <v>0</v>
      </c>
      <c r="M265" s="2351">
        <f>'Part II-Development Team'!M62</f>
        <v>0</v>
      </c>
      <c r="N265" s="2351">
        <f>'Part II-Development Team'!N62</f>
        <v>0</v>
      </c>
      <c r="O265" s="2359" t="s">
        <v>1733</v>
      </c>
      <c r="P265" s="2351"/>
      <c r="Q265" s="2372">
        <f>'Part II-Development Team'!Q62</f>
        <v>0</v>
      </c>
      <c r="R265" s="2372">
        <f>'Part II-Development Team'!R62</f>
        <v>0</v>
      </c>
      <c r="S265" s="2372">
        <f>'Part II-Development Team'!S62</f>
        <v>0</v>
      </c>
    </row>
    <row r="266" spans="1:19">
      <c r="A266" s="2351"/>
      <c r="B266" s="2351"/>
      <c r="C266" s="2351"/>
      <c r="D266" s="2351"/>
      <c r="E266" s="2359" t="s">
        <v>1811</v>
      </c>
      <c r="F266" s="2351"/>
      <c r="G266" s="2351"/>
      <c r="H266" s="2359">
        <f>'Part II-Development Team'!H63</f>
        <v>0</v>
      </c>
      <c r="I266" s="2351"/>
      <c r="J266" s="2351"/>
      <c r="K266" s="2356" t="s">
        <v>2244</v>
      </c>
      <c r="L266" s="2371">
        <f>'Part II-Development Team'!L63</f>
        <v>0</v>
      </c>
      <c r="M266" s="2371">
        <f>'Part II-Development Team'!M63</f>
        <v>0</v>
      </c>
      <c r="N266" s="2351"/>
      <c r="O266" s="2359" t="s">
        <v>1994</v>
      </c>
      <c r="P266" s="2351"/>
      <c r="Q266" s="2372">
        <f>'Part II-Development Team'!Q63</f>
        <v>0</v>
      </c>
      <c r="R266" s="2372">
        <f>'Part II-Development Team'!R63</f>
        <v>0</v>
      </c>
      <c r="S266" s="2372">
        <f>'Part II-Development Team'!S63</f>
        <v>0</v>
      </c>
    </row>
    <row r="267" spans="1:19">
      <c r="A267" s="2351"/>
      <c r="B267" s="2351"/>
      <c r="C267" s="2351"/>
      <c r="D267" s="2424"/>
      <c r="E267" s="2359" t="s">
        <v>4319</v>
      </c>
      <c r="F267" s="2351"/>
      <c r="G267" s="2351"/>
      <c r="H267" s="2372">
        <f>'Part II-Development Team'!H64</f>
        <v>0</v>
      </c>
      <c r="I267" s="2372">
        <f>'Part II-Development Team'!I64</f>
        <v>0</v>
      </c>
      <c r="J267" s="2376">
        <f>'Part II-Development Team'!J64</f>
        <v>0</v>
      </c>
      <c r="K267" s="2356" t="s">
        <v>1999</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756</v>
      </c>
      <c r="C269" s="2348" t="s">
        <v>1539</v>
      </c>
      <c r="D269" s="2351"/>
      <c r="E269" s="2351"/>
      <c r="F269" s="2351"/>
      <c r="G269" s="2351"/>
      <c r="H269" s="2351" t="str">
        <f>'Part II-Development Team'!H66</f>
        <v>None</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2004</v>
      </c>
      <c r="P269" s="2359"/>
      <c r="Q269" s="2351">
        <f>'Part II-Development Team'!Q66</f>
        <v>0</v>
      </c>
      <c r="R269" s="2351">
        <f>'Part II-Development Team'!R66</f>
        <v>0</v>
      </c>
      <c r="S269" s="2351">
        <f>'Part II-Development Team'!S66</f>
        <v>0</v>
      </c>
    </row>
    <row r="270" spans="1:19">
      <c r="A270" s="2351"/>
      <c r="B270" s="2351"/>
      <c r="C270" s="2351"/>
      <c r="D270" s="2424"/>
      <c r="E270" s="2359" t="s">
        <v>1030</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1759</v>
      </c>
      <c r="P270" s="2351"/>
      <c r="Q270" s="2351">
        <f>'Part II-Development Team'!Q67</f>
        <v>0</v>
      </c>
      <c r="R270" s="2351">
        <f>'Part II-Development Team'!R67</f>
        <v>0</v>
      </c>
      <c r="S270" s="2351">
        <f>'Part II-Development Team'!S67</f>
        <v>0</v>
      </c>
    </row>
    <row r="271" spans="1:19">
      <c r="A271" s="2351"/>
      <c r="B271" s="2351"/>
      <c r="C271" s="2351"/>
      <c r="D271" s="2424"/>
      <c r="E271" s="2359" t="s">
        <v>623</v>
      </c>
      <c r="F271" s="2351"/>
      <c r="G271" s="2351"/>
      <c r="H271" s="2351">
        <f>'Part II-Development Team'!H68</f>
        <v>0</v>
      </c>
      <c r="I271" s="2351">
        <f>'Part II-Development Team'!I68</f>
        <v>0</v>
      </c>
      <c r="J271" s="2351">
        <f>'Part II-Development Team'!J68</f>
        <v>0</v>
      </c>
      <c r="K271" s="2356" t="s">
        <v>2721</v>
      </c>
      <c r="L271" s="2351">
        <f>'Part II-Development Team'!L68</f>
        <v>0</v>
      </c>
      <c r="M271" s="2351">
        <f>'Part II-Development Team'!M68</f>
        <v>0</v>
      </c>
      <c r="N271" s="2351">
        <f>'Part II-Development Team'!N68</f>
        <v>0</v>
      </c>
      <c r="O271" s="2359" t="s">
        <v>1733</v>
      </c>
      <c r="P271" s="2351"/>
      <c r="Q271" s="2372">
        <f>'Part II-Development Team'!Q68</f>
        <v>0</v>
      </c>
      <c r="R271" s="2372">
        <f>'Part II-Development Team'!R68</f>
        <v>0</v>
      </c>
      <c r="S271" s="2372">
        <f>'Part II-Development Team'!S68</f>
        <v>0</v>
      </c>
    </row>
    <row r="272" spans="1:19">
      <c r="A272" s="2351"/>
      <c r="B272" s="2351"/>
      <c r="C272" s="2351"/>
      <c r="D272" s="2351"/>
      <c r="E272" s="2359" t="s">
        <v>1811</v>
      </c>
      <c r="F272" s="2351"/>
      <c r="G272" s="2351"/>
      <c r="H272" s="2359">
        <f>'Part II-Development Team'!H69</f>
        <v>0</v>
      </c>
      <c r="I272" s="2351"/>
      <c r="J272" s="2351"/>
      <c r="K272" s="2356" t="s">
        <v>2244</v>
      </c>
      <c r="L272" s="2371">
        <f>'Part II-Development Team'!L69</f>
        <v>0</v>
      </c>
      <c r="M272" s="2371">
        <f>'Part II-Development Team'!M69</f>
        <v>0</v>
      </c>
      <c r="N272" s="2351"/>
      <c r="O272" s="2359" t="s">
        <v>1994</v>
      </c>
      <c r="P272" s="2351"/>
      <c r="Q272" s="2372">
        <f>'Part II-Development Team'!Q69</f>
        <v>0</v>
      </c>
      <c r="R272" s="2372">
        <f>'Part II-Development Team'!R69</f>
        <v>0</v>
      </c>
      <c r="S272" s="2372">
        <f>'Part II-Development Team'!S69</f>
        <v>0</v>
      </c>
    </row>
    <row r="273" spans="1:19">
      <c r="A273" s="2351"/>
      <c r="B273" s="2351"/>
      <c r="C273" s="2351"/>
      <c r="D273" s="2424"/>
      <c r="E273" s="2359" t="s">
        <v>4319</v>
      </c>
      <c r="F273" s="2351"/>
      <c r="G273" s="2351"/>
      <c r="H273" s="2372">
        <f>'Part II-Development Team'!H70</f>
        <v>0</v>
      </c>
      <c r="I273" s="2372">
        <f>'Part II-Development Team'!I70</f>
        <v>0</v>
      </c>
      <c r="J273" s="2376">
        <f>'Part II-Development Team'!J70</f>
        <v>0</v>
      </c>
      <c r="K273" s="2356" t="s">
        <v>1999</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2130</v>
      </c>
      <c r="C275" s="2348" t="s">
        <v>286</v>
      </c>
      <c r="D275" s="2351"/>
      <c r="E275" s="2351"/>
      <c r="F275" s="2351"/>
      <c r="G275" s="2351"/>
      <c r="H275" s="2351" t="str">
        <f>'Part II-Development Team'!H72</f>
        <v>None</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2004</v>
      </c>
      <c r="P275" s="2359"/>
      <c r="Q275" s="2351">
        <f>'Part II-Development Team'!Q72</f>
        <v>0</v>
      </c>
      <c r="R275" s="2351">
        <f>'Part II-Development Team'!R72</f>
        <v>0</v>
      </c>
      <c r="S275" s="2351">
        <f>'Part II-Development Team'!S72</f>
        <v>0</v>
      </c>
    </row>
    <row r="276" spans="1:19">
      <c r="A276" s="2351"/>
      <c r="B276" s="2351"/>
      <c r="C276" s="2351"/>
      <c r="D276" s="2424"/>
      <c r="E276" s="2359" t="s">
        <v>1030</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1759</v>
      </c>
      <c r="P276" s="2351"/>
      <c r="Q276" s="2351">
        <f>'Part II-Development Team'!Q73</f>
        <v>0</v>
      </c>
      <c r="R276" s="2351">
        <f>'Part II-Development Team'!R73</f>
        <v>0</v>
      </c>
      <c r="S276" s="2351">
        <f>'Part II-Development Team'!S73</f>
        <v>0</v>
      </c>
    </row>
    <row r="277" spans="1:19">
      <c r="A277" s="2351"/>
      <c r="B277" s="2351"/>
      <c r="C277" s="2351"/>
      <c r="D277" s="2424"/>
      <c r="E277" s="2359" t="s">
        <v>623</v>
      </c>
      <c r="F277" s="2351"/>
      <c r="G277" s="2351"/>
      <c r="H277" s="2351">
        <f>'Part II-Development Team'!H74</f>
        <v>0</v>
      </c>
      <c r="I277" s="2351">
        <f>'Part II-Development Team'!I74</f>
        <v>0</v>
      </c>
      <c r="J277" s="2351">
        <f>'Part II-Development Team'!J74</f>
        <v>0</v>
      </c>
      <c r="K277" s="2356" t="s">
        <v>2721</v>
      </c>
      <c r="L277" s="2351">
        <f>'Part II-Development Team'!L74</f>
        <v>0</v>
      </c>
      <c r="M277" s="2351">
        <f>'Part II-Development Team'!M74</f>
        <v>0</v>
      </c>
      <c r="N277" s="2351">
        <f>'Part II-Development Team'!N74</f>
        <v>0</v>
      </c>
      <c r="O277" s="2359" t="s">
        <v>1733</v>
      </c>
      <c r="P277" s="2351"/>
      <c r="Q277" s="2372">
        <f>'Part II-Development Team'!Q74</f>
        <v>0</v>
      </c>
      <c r="R277" s="2372">
        <f>'Part II-Development Team'!R74</f>
        <v>0</v>
      </c>
      <c r="S277" s="2372">
        <f>'Part II-Development Team'!S74</f>
        <v>0</v>
      </c>
    </row>
    <row r="278" spans="1:19">
      <c r="A278" s="2351"/>
      <c r="B278" s="2351"/>
      <c r="C278" s="2351"/>
      <c r="D278" s="2351"/>
      <c r="E278" s="2359" t="s">
        <v>1811</v>
      </c>
      <c r="F278" s="2351"/>
      <c r="G278" s="2351"/>
      <c r="H278" s="2359">
        <f>'Part II-Development Team'!H75</f>
        <v>0</v>
      </c>
      <c r="I278" s="2351"/>
      <c r="J278" s="2351"/>
      <c r="K278" s="2356" t="s">
        <v>2244</v>
      </c>
      <c r="L278" s="2371">
        <f>'Part II-Development Team'!L75</f>
        <v>0</v>
      </c>
      <c r="M278" s="2371">
        <f>'Part II-Development Team'!M75</f>
        <v>0</v>
      </c>
      <c r="N278" s="2351"/>
      <c r="O278" s="2359" t="s">
        <v>1994</v>
      </c>
      <c r="P278" s="2351"/>
      <c r="Q278" s="2372">
        <f>'Part II-Development Team'!Q75</f>
        <v>0</v>
      </c>
      <c r="R278" s="2372">
        <f>'Part II-Development Team'!R75</f>
        <v>0</v>
      </c>
      <c r="S278" s="2372">
        <f>'Part II-Development Team'!S75</f>
        <v>0</v>
      </c>
    </row>
    <row r="279" spans="1:19">
      <c r="A279" s="2351"/>
      <c r="B279" s="2351"/>
      <c r="C279" s="2351"/>
      <c r="D279" s="2424"/>
      <c r="E279" s="2359" t="s">
        <v>4319</v>
      </c>
      <c r="F279" s="2351"/>
      <c r="G279" s="2351"/>
      <c r="H279" s="2372">
        <f>'Part II-Development Team'!H76</f>
        <v>0</v>
      </c>
      <c r="I279" s="2372">
        <f>'Part II-Development Team'!I76</f>
        <v>0</v>
      </c>
      <c r="J279" s="2376">
        <f>'Part II-Development Team'!J76</f>
        <v>0</v>
      </c>
      <c r="K279" s="2356" t="s">
        <v>1999</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749</v>
      </c>
      <c r="B281" s="2352" t="s">
        <v>287</v>
      </c>
      <c r="C281" s="2359"/>
      <c r="D281" s="2352"/>
      <c r="E281" s="2359"/>
      <c r="F281" s="2352"/>
      <c r="G281" s="2352"/>
      <c r="H281" s="2352"/>
      <c r="I281" s="2352"/>
      <c r="J281" s="2352"/>
      <c r="K281" s="2353" t="s">
        <v>4318</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1998</v>
      </c>
      <c r="C283" s="2348" t="s">
        <v>288</v>
      </c>
      <c r="D283" s="2351"/>
      <c r="E283" s="2351"/>
      <c r="F283" s="2351"/>
      <c r="G283" s="2351"/>
      <c r="H283" s="2351" t="str">
        <f>'Part II-Development Team'!H80</f>
        <v>None</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2004</v>
      </c>
      <c r="P283" s="2359"/>
      <c r="Q283" s="2351">
        <f>'Part II-Development Team'!Q80</f>
        <v>0</v>
      </c>
      <c r="R283" s="2351">
        <f>'Part II-Development Team'!R80</f>
        <v>0</v>
      </c>
      <c r="S283" s="2351">
        <f>'Part II-Development Team'!S80</f>
        <v>0</v>
      </c>
    </row>
    <row r="284" spans="1:19">
      <c r="A284" s="2351"/>
      <c r="B284" s="2351"/>
      <c r="C284" s="2351"/>
      <c r="D284" s="2424"/>
      <c r="E284" s="2359" t="s">
        <v>1030</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1759</v>
      </c>
      <c r="P284" s="2351"/>
      <c r="Q284" s="2351">
        <f>'Part II-Development Team'!Q81</f>
        <v>0</v>
      </c>
      <c r="R284" s="2351">
        <f>'Part II-Development Team'!R81</f>
        <v>0</v>
      </c>
      <c r="S284" s="2351">
        <f>'Part II-Development Team'!S81</f>
        <v>0</v>
      </c>
    </row>
    <row r="285" spans="1:19">
      <c r="A285" s="2351"/>
      <c r="B285" s="2351"/>
      <c r="C285" s="2351"/>
      <c r="D285" s="2424"/>
      <c r="E285" s="2359" t="s">
        <v>623</v>
      </c>
      <c r="F285" s="2351"/>
      <c r="G285" s="2351"/>
      <c r="H285" s="2351">
        <f>'Part II-Development Team'!H82</f>
        <v>0</v>
      </c>
      <c r="I285" s="2351">
        <f>'Part II-Development Team'!I82</f>
        <v>0</v>
      </c>
      <c r="J285" s="2351">
        <f>'Part II-Development Team'!J82</f>
        <v>0</v>
      </c>
      <c r="K285" s="2356" t="s">
        <v>2721</v>
      </c>
      <c r="L285" s="2351">
        <f>'Part II-Development Team'!L82</f>
        <v>0</v>
      </c>
      <c r="M285" s="2351">
        <f>'Part II-Development Team'!M82</f>
        <v>0</v>
      </c>
      <c r="N285" s="2351">
        <f>'Part II-Development Team'!N82</f>
        <v>0</v>
      </c>
      <c r="O285" s="2359" t="s">
        <v>1733</v>
      </c>
      <c r="P285" s="2351"/>
      <c r="Q285" s="2372">
        <f>'Part II-Development Team'!Q82</f>
        <v>0</v>
      </c>
      <c r="R285" s="2372">
        <f>'Part II-Development Team'!R82</f>
        <v>0</v>
      </c>
      <c r="S285" s="2372">
        <f>'Part II-Development Team'!S82</f>
        <v>0</v>
      </c>
    </row>
    <row r="286" spans="1:19">
      <c r="A286" s="2351"/>
      <c r="B286" s="2351"/>
      <c r="C286" s="2351"/>
      <c r="D286" s="2351"/>
      <c r="E286" s="2359" t="s">
        <v>1811</v>
      </c>
      <c r="F286" s="2351"/>
      <c r="G286" s="2351"/>
      <c r="H286" s="2359">
        <f>'Part II-Development Team'!H83</f>
        <v>0</v>
      </c>
      <c r="I286" s="2351"/>
      <c r="J286" s="2351"/>
      <c r="K286" s="2356" t="s">
        <v>2244</v>
      </c>
      <c r="L286" s="2371">
        <f>'Part II-Development Team'!L83</f>
        <v>0</v>
      </c>
      <c r="M286" s="2371">
        <f>'Part II-Development Team'!M83</f>
        <v>0</v>
      </c>
      <c r="N286" s="2351"/>
      <c r="O286" s="2359" t="s">
        <v>1994</v>
      </c>
      <c r="P286" s="2351"/>
      <c r="Q286" s="2372">
        <f>'Part II-Development Team'!Q83</f>
        <v>0</v>
      </c>
      <c r="R286" s="2372">
        <f>'Part II-Development Team'!R83</f>
        <v>0</v>
      </c>
      <c r="S286" s="2372">
        <f>'Part II-Development Team'!S83</f>
        <v>0</v>
      </c>
    </row>
    <row r="287" spans="1:19">
      <c r="A287" s="2351"/>
      <c r="B287" s="2351"/>
      <c r="C287" s="2351"/>
      <c r="D287" s="2424"/>
      <c r="E287" s="2359" t="s">
        <v>4319</v>
      </c>
      <c r="F287" s="2351"/>
      <c r="G287" s="2351"/>
      <c r="H287" s="2372">
        <f>'Part II-Development Team'!H84</f>
        <v>0</v>
      </c>
      <c r="I287" s="2372">
        <f>'Part II-Development Team'!I84</f>
        <v>0</v>
      </c>
      <c r="J287" s="2376">
        <f>'Part II-Development Team'!J84</f>
        <v>0</v>
      </c>
      <c r="K287" s="2356" t="s">
        <v>1999</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2000</v>
      </c>
      <c r="C289" s="2348" t="s">
        <v>289</v>
      </c>
      <c r="D289" s="2351"/>
      <c r="E289" s="2351"/>
      <c r="F289" s="2351"/>
      <c r="G289" s="2351"/>
      <c r="H289" s="2351" t="str">
        <f>'Part II-Development Team'!H86</f>
        <v>Olympia Construction,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2004</v>
      </c>
      <c r="P289" s="2359"/>
      <c r="Q289" s="2351" t="str">
        <f>'Part II-Development Team'!Q86</f>
        <v>Ralph Fullerton</v>
      </c>
      <c r="R289" s="2351">
        <f>'Part II-Development Team'!R86</f>
        <v>0</v>
      </c>
      <c r="S289" s="2351">
        <f>'Part II-Development Team'!S86</f>
        <v>0</v>
      </c>
    </row>
    <row r="290" spans="1:19">
      <c r="A290" s="2351"/>
      <c r="B290" s="2351"/>
      <c r="C290" s="2351"/>
      <c r="D290" s="2424"/>
      <c r="E290" s="2359" t="s">
        <v>1030</v>
      </c>
      <c r="F290" s="2362"/>
      <c r="G290" s="2351"/>
      <c r="H290" s="2351" t="str">
        <f>'Part II-Development Team'!H87</f>
        <v>404 E. McKinney Avenue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1759</v>
      </c>
      <c r="P290" s="2351"/>
      <c r="Q290" s="2351" t="str">
        <f>'Part II-Development Team'!Q87</f>
        <v>Owner</v>
      </c>
      <c r="R290" s="2351">
        <f>'Part II-Development Team'!R87</f>
        <v>0</v>
      </c>
      <c r="S290" s="2351">
        <f>'Part II-Development Team'!S87</f>
        <v>0</v>
      </c>
    </row>
    <row r="291" spans="1:19">
      <c r="A291" s="2351"/>
      <c r="B291" s="2351"/>
      <c r="C291" s="2351"/>
      <c r="D291" s="2424"/>
      <c r="E291" s="2359" t="s">
        <v>623</v>
      </c>
      <c r="F291" s="2351"/>
      <c r="G291" s="2351"/>
      <c r="H291" s="2351" t="str">
        <f>'Part II-Development Team'!H88</f>
        <v>Albertville</v>
      </c>
      <c r="I291" s="2351">
        <f>'Part II-Development Team'!I88</f>
        <v>0</v>
      </c>
      <c r="J291" s="2351">
        <f>'Part II-Development Team'!J88</f>
        <v>0</v>
      </c>
      <c r="K291" s="2356" t="s">
        <v>2721</v>
      </c>
      <c r="L291" s="2351">
        <f>'Part II-Development Team'!L88</f>
        <v>0</v>
      </c>
      <c r="M291" s="2351">
        <f>'Part II-Development Team'!M88</f>
        <v>0</v>
      </c>
      <c r="N291" s="2351">
        <f>'Part II-Development Team'!N88</f>
        <v>0</v>
      </c>
      <c r="O291" s="2359" t="s">
        <v>1733</v>
      </c>
      <c r="P291" s="2351"/>
      <c r="Q291" s="2372">
        <f>'Part II-Development Team'!Q88</f>
        <v>2568786054</v>
      </c>
      <c r="R291" s="2372">
        <f>'Part II-Development Team'!R88</f>
        <v>0</v>
      </c>
      <c r="S291" s="2372">
        <f>'Part II-Development Team'!S88</f>
        <v>0</v>
      </c>
    </row>
    <row r="292" spans="1:19">
      <c r="A292" s="2351"/>
      <c r="B292" s="2351"/>
      <c r="C292" s="2351"/>
      <c r="D292" s="2351"/>
      <c r="E292" s="2359" t="s">
        <v>1811</v>
      </c>
      <c r="F292" s="2351"/>
      <c r="G292" s="2351"/>
      <c r="H292" s="2359" t="str">
        <f>'Part II-Development Team'!H89</f>
        <v>AL</v>
      </c>
      <c r="I292" s="2351"/>
      <c r="J292" s="2351"/>
      <c r="K292" s="2356" t="s">
        <v>2244</v>
      </c>
      <c r="L292" s="2371">
        <f>'Part II-Development Team'!L89</f>
        <v>359500000</v>
      </c>
      <c r="M292" s="2371">
        <f>'Part II-Development Team'!M89</f>
        <v>0</v>
      </c>
      <c r="N292" s="2351"/>
      <c r="O292" s="2359" t="s">
        <v>1994</v>
      </c>
      <c r="P292" s="2351"/>
      <c r="Q292" s="2372">
        <f>'Part II-Development Team'!Q89</f>
        <v>2565582764</v>
      </c>
      <c r="R292" s="2372">
        <f>'Part II-Development Team'!R89</f>
        <v>0</v>
      </c>
      <c r="S292" s="2372">
        <f>'Part II-Development Team'!S89</f>
        <v>0</v>
      </c>
    </row>
    <row r="293" spans="1:19">
      <c r="A293" s="2351"/>
      <c r="B293" s="2351"/>
      <c r="C293" s="2351"/>
      <c r="D293" s="2424"/>
      <c r="E293" s="2359" t="s">
        <v>4319</v>
      </c>
      <c r="F293" s="2351"/>
      <c r="G293" s="2351"/>
      <c r="H293" s="2372">
        <f>'Part II-Development Team'!H90</f>
        <v>2568786054</v>
      </c>
      <c r="I293" s="2372">
        <f>'Part II-Development Team'!I90</f>
        <v>0</v>
      </c>
      <c r="J293" s="2376">
        <f>'Part II-Development Team'!J90</f>
        <v>0</v>
      </c>
      <c r="K293" s="2356" t="s">
        <v>1999</v>
      </c>
      <c r="L293" s="2367" t="str">
        <f>'Part II-Development Team'!L90</f>
        <v>sharron@olympiaconstruction.net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756</v>
      </c>
      <c r="C295" s="2348" t="s">
        <v>290</v>
      </c>
      <c r="D295" s="2351"/>
      <c r="E295" s="2351"/>
      <c r="F295" s="2358"/>
      <c r="G295" s="2351"/>
      <c r="H295" s="2351" t="str">
        <f>'Part II-Development Team'!H92</f>
        <v>Boyd Management Company</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2004</v>
      </c>
      <c r="P295" s="2359"/>
      <c r="Q295" s="2351" t="str">
        <f>'Part II-Development Team'!Q92</f>
        <v>Barbara Jaco</v>
      </c>
      <c r="R295" s="2351">
        <f>'Part II-Development Team'!R92</f>
        <v>0</v>
      </c>
      <c r="S295" s="2351">
        <f>'Part II-Development Team'!S92</f>
        <v>0</v>
      </c>
    </row>
    <row r="296" spans="1:19">
      <c r="A296" s="2351"/>
      <c r="B296" s="2351"/>
      <c r="C296" s="2351"/>
      <c r="D296" s="2424"/>
      <c r="E296" s="2359" t="s">
        <v>1030</v>
      </c>
      <c r="F296" s="2362"/>
      <c r="G296" s="2351"/>
      <c r="H296" s="2351" t="str">
        <f>'Part II-Development Team'!H93</f>
        <v>P.O. Box 23589</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1759</v>
      </c>
      <c r="P296" s="2351"/>
      <c r="Q296" s="2351" t="str">
        <f>'Part II-Development Team'!Q93</f>
        <v>Owner</v>
      </c>
      <c r="R296" s="2351">
        <f>'Part II-Development Team'!R93</f>
        <v>0</v>
      </c>
      <c r="S296" s="2351">
        <f>'Part II-Development Team'!S93</f>
        <v>0</v>
      </c>
    </row>
    <row r="297" spans="1:19">
      <c r="A297" s="2351"/>
      <c r="B297" s="2351"/>
      <c r="C297" s="2351"/>
      <c r="D297" s="2424"/>
      <c r="E297" s="2359" t="s">
        <v>623</v>
      </c>
      <c r="F297" s="2351"/>
      <c r="G297" s="2351"/>
      <c r="H297" s="2351" t="str">
        <f>'Part II-Development Team'!H94</f>
        <v>Columbia</v>
      </c>
      <c r="I297" s="2351">
        <f>'Part II-Development Team'!I94</f>
        <v>0</v>
      </c>
      <c r="J297" s="2351">
        <f>'Part II-Development Team'!J94</f>
        <v>0</v>
      </c>
      <c r="K297" s="2356" t="s">
        <v>2721</v>
      </c>
      <c r="L297" s="2351">
        <f>'Part II-Development Team'!L94</f>
        <v>0</v>
      </c>
      <c r="M297" s="2351">
        <f>'Part II-Development Team'!M94</f>
        <v>0</v>
      </c>
      <c r="N297" s="2351">
        <f>'Part II-Development Team'!N94</f>
        <v>0</v>
      </c>
      <c r="O297" s="2359" t="s">
        <v>1733</v>
      </c>
      <c r="P297" s="2351"/>
      <c r="Q297" s="2372">
        <f>'Part II-Development Team'!Q94</f>
        <v>8037883800</v>
      </c>
      <c r="R297" s="2372">
        <f>'Part II-Development Team'!R94</f>
        <v>0</v>
      </c>
      <c r="S297" s="2372">
        <f>'Part II-Development Team'!S94</f>
        <v>0</v>
      </c>
    </row>
    <row r="298" spans="1:19">
      <c r="A298" s="2351"/>
      <c r="B298" s="2351"/>
      <c r="C298" s="2351"/>
      <c r="D298" s="2424"/>
      <c r="E298" s="2359" t="s">
        <v>1811</v>
      </c>
      <c r="F298" s="2351"/>
      <c r="G298" s="2351"/>
      <c r="H298" s="2359" t="str">
        <f>'Part II-Development Team'!H95</f>
        <v>SC</v>
      </c>
      <c r="I298" s="2351"/>
      <c r="J298" s="2351"/>
      <c r="K298" s="2356" t="s">
        <v>2244</v>
      </c>
      <c r="L298" s="2371">
        <f>'Part II-Development Team'!L95</f>
        <v>292243589</v>
      </c>
      <c r="M298" s="2371">
        <f>'Part II-Development Team'!M95</f>
        <v>0</v>
      </c>
      <c r="N298" s="2351"/>
      <c r="O298" s="2359" t="s">
        <v>1994</v>
      </c>
      <c r="P298" s="2351"/>
      <c r="Q298" s="2372">
        <f>'Part II-Development Team'!Q95</f>
        <v>0</v>
      </c>
      <c r="R298" s="2372">
        <f>'Part II-Development Team'!R95</f>
        <v>0</v>
      </c>
      <c r="S298" s="2372">
        <f>'Part II-Development Team'!S95</f>
        <v>0</v>
      </c>
    </row>
    <row r="299" spans="1:19">
      <c r="A299" s="2351"/>
      <c r="B299" s="2351"/>
      <c r="C299" s="2351"/>
      <c r="D299" s="2424"/>
      <c r="E299" s="2359" t="s">
        <v>4319</v>
      </c>
      <c r="F299" s="2351"/>
      <c r="G299" s="2351"/>
      <c r="H299" s="2372">
        <f>'Part II-Development Team'!H96</f>
        <v>8037883800</v>
      </c>
      <c r="I299" s="2372">
        <f>'Part II-Development Team'!I96</f>
        <v>0</v>
      </c>
      <c r="J299" s="2376">
        <f>'Part II-Development Team'!J96</f>
        <v>0</v>
      </c>
      <c r="K299" s="2356" t="s">
        <v>1999</v>
      </c>
      <c r="L299" s="2367" t="str">
        <f>'Part II-Development Team'!L96</f>
        <v>babbie.jaco@boydmanagement.com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2130</v>
      </c>
      <c r="C301" s="2348" t="s">
        <v>291</v>
      </c>
      <c r="D301" s="2351"/>
      <c r="E301" s="2351"/>
      <c r="F301" s="2351"/>
      <c r="G301" s="2351"/>
      <c r="H301" s="2351" t="str">
        <f>'Part II-Development Team'!H98</f>
        <v>Coleman Law Firm</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2004</v>
      </c>
      <c r="P301" s="2359"/>
      <c r="Q301" s="2351" t="str">
        <f>'Part II-Development Team'!Q98</f>
        <v>Tom Kurrie</v>
      </c>
      <c r="R301" s="2351">
        <f>'Part II-Development Team'!R98</f>
        <v>0</v>
      </c>
      <c r="S301" s="2351">
        <f>'Part II-Development Team'!S98</f>
        <v>0</v>
      </c>
    </row>
    <row r="302" spans="1:19">
      <c r="A302" s="2351"/>
      <c r="B302" s="2351"/>
      <c r="C302" s="2351"/>
      <c r="D302" s="2424"/>
      <c r="E302" s="2359" t="s">
        <v>1030</v>
      </c>
      <c r="F302" s="2362"/>
      <c r="G302" s="2351"/>
      <c r="H302" s="2351" t="str">
        <f>'Part II-Development Team'!H99</f>
        <v>910 N. Patterson St.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1759</v>
      </c>
      <c r="P302" s="2351"/>
      <c r="Q302" s="2351" t="str">
        <f>'Part II-Development Team'!Q99</f>
        <v>Partner</v>
      </c>
      <c r="R302" s="2351">
        <f>'Part II-Development Team'!R99</f>
        <v>0</v>
      </c>
      <c r="S302" s="2351">
        <f>'Part II-Development Team'!S99</f>
        <v>0</v>
      </c>
    </row>
    <row r="303" spans="1:19">
      <c r="A303" s="2351"/>
      <c r="B303" s="2351"/>
      <c r="C303" s="2351"/>
      <c r="D303" s="2424"/>
      <c r="E303" s="2359" t="s">
        <v>623</v>
      </c>
      <c r="F303" s="2351"/>
      <c r="G303" s="2351"/>
      <c r="H303" s="2351" t="str">
        <f>'Part II-Development Team'!H100</f>
        <v>Valdosta</v>
      </c>
      <c r="I303" s="2351">
        <f>'Part II-Development Team'!I100</f>
        <v>0</v>
      </c>
      <c r="J303" s="2351">
        <f>'Part II-Development Team'!J100</f>
        <v>0</v>
      </c>
      <c r="K303" s="2356" t="s">
        <v>2721</v>
      </c>
      <c r="L303" s="2351">
        <f>'Part II-Development Team'!L100</f>
        <v>0</v>
      </c>
      <c r="M303" s="2351">
        <f>'Part II-Development Team'!M100</f>
        <v>0</v>
      </c>
      <c r="N303" s="2351">
        <f>'Part II-Development Team'!N100</f>
        <v>0</v>
      </c>
      <c r="O303" s="2359" t="s">
        <v>1733</v>
      </c>
      <c r="P303" s="2351"/>
      <c r="Q303" s="2372">
        <f>'Part II-Development Team'!Q100</f>
        <v>2292427562</v>
      </c>
      <c r="R303" s="2372">
        <f>'Part II-Development Team'!R100</f>
        <v>0</v>
      </c>
      <c r="S303" s="2372">
        <f>'Part II-Development Team'!S100</f>
        <v>0</v>
      </c>
    </row>
    <row r="304" spans="1:19">
      <c r="A304" s="2351"/>
      <c r="B304" s="2351"/>
      <c r="C304" s="2351"/>
      <c r="D304" s="2424"/>
      <c r="E304" s="2359" t="s">
        <v>1811</v>
      </c>
      <c r="F304" s="2351"/>
      <c r="G304" s="2351"/>
      <c r="H304" s="2359" t="str">
        <f>'Part II-Development Team'!H101</f>
        <v>GA</v>
      </c>
      <c r="I304" s="2351"/>
      <c r="J304" s="2351"/>
      <c r="K304" s="2356" t="s">
        <v>2244</v>
      </c>
      <c r="L304" s="2371">
        <f>'Part II-Development Team'!L101</f>
        <v>316010000</v>
      </c>
      <c r="M304" s="2371">
        <f>'Part II-Development Team'!M101</f>
        <v>0</v>
      </c>
      <c r="N304" s="2351"/>
      <c r="O304" s="2359" t="s">
        <v>1994</v>
      </c>
      <c r="P304" s="2351"/>
      <c r="Q304" s="2372">
        <f>'Part II-Development Team'!Q101</f>
        <v>0</v>
      </c>
      <c r="R304" s="2372">
        <f>'Part II-Development Team'!R101</f>
        <v>0</v>
      </c>
      <c r="S304" s="2372">
        <f>'Part II-Development Team'!S101</f>
        <v>0</v>
      </c>
    </row>
    <row r="305" spans="1:19">
      <c r="A305" s="2358"/>
      <c r="B305" s="2358"/>
      <c r="C305" s="2358"/>
      <c r="D305" s="2358"/>
      <c r="E305" s="2359" t="s">
        <v>4319</v>
      </c>
      <c r="F305" s="2351"/>
      <c r="G305" s="2351"/>
      <c r="H305" s="2372">
        <f>'Part II-Development Team'!H102</f>
        <v>9122427562</v>
      </c>
      <c r="I305" s="2372">
        <f>'Part II-Development Team'!I102</f>
        <v>0</v>
      </c>
      <c r="J305" s="2376">
        <f>'Part II-Development Team'!J102</f>
        <v>0</v>
      </c>
      <c r="K305" s="2356" t="s">
        <v>1999</v>
      </c>
      <c r="L305" s="2367" t="str">
        <f>'Part II-Development Team'!L102</f>
        <v>tom.kurrie@colemantalley.com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1747</v>
      </c>
      <c r="C307" s="2348" t="s">
        <v>292</v>
      </c>
      <c r="D307" s="2351"/>
      <c r="E307" s="2351"/>
      <c r="F307" s="2351"/>
      <c r="G307" s="2351"/>
      <c r="H307" s="2351" t="str">
        <f>'Part II-Development Team'!H104</f>
        <v>Apiro</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2004</v>
      </c>
      <c r="P307" s="2359"/>
      <c r="Q307" s="2351" t="str">
        <f>'Part II-Development Team'!Q104</f>
        <v>Frank Gudger</v>
      </c>
      <c r="R307" s="2351">
        <f>'Part II-Development Team'!R104</f>
        <v>0</v>
      </c>
      <c r="S307" s="2351">
        <f>'Part II-Development Team'!S104</f>
        <v>0</v>
      </c>
    </row>
    <row r="308" spans="1:19">
      <c r="A308" s="2351"/>
      <c r="B308" s="2351"/>
      <c r="C308" s="2351"/>
      <c r="D308" s="2424"/>
      <c r="E308" s="2359" t="s">
        <v>1030</v>
      </c>
      <c r="F308" s="2362"/>
      <c r="G308" s="2351"/>
      <c r="H308" s="2351" t="str">
        <f>'Part II-Development Team'!H105</f>
        <v>Five Concourse Pky Suite 100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1759</v>
      </c>
      <c r="P308" s="2351"/>
      <c r="Q308" s="2351" t="str">
        <f>'Part II-Development Team'!Q105</f>
        <v>Partner</v>
      </c>
      <c r="R308" s="2351">
        <f>'Part II-Development Team'!R105</f>
        <v>0</v>
      </c>
      <c r="S308" s="2351">
        <f>'Part II-Development Team'!S105</f>
        <v>0</v>
      </c>
    </row>
    <row r="309" spans="1:19">
      <c r="A309" s="2351"/>
      <c r="B309" s="2351"/>
      <c r="C309" s="2351"/>
      <c r="D309" s="2424"/>
      <c r="E309" s="2359" t="s">
        <v>623</v>
      </c>
      <c r="F309" s="2351"/>
      <c r="G309" s="2351"/>
      <c r="H309" s="2351" t="str">
        <f>'Part II-Development Team'!H106</f>
        <v>Atlanta</v>
      </c>
      <c r="I309" s="2351">
        <f>'Part II-Development Team'!I106</f>
        <v>0</v>
      </c>
      <c r="J309" s="2351">
        <f>'Part II-Development Team'!J106</f>
        <v>0</v>
      </c>
      <c r="K309" s="2356" t="s">
        <v>2721</v>
      </c>
      <c r="L309" s="2351">
        <f>'Part II-Development Team'!L106</f>
        <v>0</v>
      </c>
      <c r="M309" s="2351">
        <f>'Part II-Development Team'!M106</f>
        <v>0</v>
      </c>
      <c r="N309" s="2351">
        <f>'Part II-Development Team'!N106</f>
        <v>0</v>
      </c>
      <c r="O309" s="2359" t="s">
        <v>1733</v>
      </c>
      <c r="P309" s="2351"/>
      <c r="Q309" s="2372">
        <f>'Part II-Development Team'!Q106</f>
        <v>4048929651</v>
      </c>
      <c r="R309" s="2372">
        <f>'Part II-Development Team'!R106</f>
        <v>0</v>
      </c>
      <c r="S309" s="2372">
        <f>'Part II-Development Team'!S106</f>
        <v>0</v>
      </c>
    </row>
    <row r="310" spans="1:19">
      <c r="A310" s="2351"/>
      <c r="B310" s="2351"/>
      <c r="C310" s="2351"/>
      <c r="D310" s="2424"/>
      <c r="E310" s="2359" t="s">
        <v>1811</v>
      </c>
      <c r="F310" s="2351"/>
      <c r="G310" s="2351"/>
      <c r="H310" s="2359" t="str">
        <f>'Part II-Development Team'!H107</f>
        <v>GA</v>
      </c>
      <c r="I310" s="2351"/>
      <c r="J310" s="2351"/>
      <c r="K310" s="2356" t="s">
        <v>2244</v>
      </c>
      <c r="L310" s="2371">
        <f>'Part II-Development Team'!L107</f>
        <v>303420000</v>
      </c>
      <c r="M310" s="2371">
        <f>'Part II-Development Team'!M107</f>
        <v>0</v>
      </c>
      <c r="N310" s="2351"/>
      <c r="O310" s="2359" t="s">
        <v>1994</v>
      </c>
      <c r="P310" s="2351"/>
      <c r="Q310" s="2372">
        <f>'Part II-Development Team'!Q107</f>
        <v>0</v>
      </c>
      <c r="R310" s="2372">
        <f>'Part II-Development Team'!R107</f>
        <v>0</v>
      </c>
      <c r="S310" s="2372">
        <f>'Part II-Development Team'!S107</f>
        <v>0</v>
      </c>
    </row>
    <row r="311" spans="1:19">
      <c r="A311" s="2358"/>
      <c r="B311" s="2358"/>
      <c r="C311" s="2358"/>
      <c r="D311" s="2358"/>
      <c r="E311" s="2359" t="s">
        <v>4319</v>
      </c>
      <c r="F311" s="2351"/>
      <c r="G311" s="2351"/>
      <c r="H311" s="2372">
        <f>'Part II-Development Team'!H108</f>
        <v>4948988244</v>
      </c>
      <c r="I311" s="2372">
        <f>'Part II-Development Team'!I108</f>
        <v>0</v>
      </c>
      <c r="J311" s="2376">
        <f>'Part II-Development Team'!J108</f>
        <v>0</v>
      </c>
      <c r="K311" s="2356" t="s">
        <v>1999</v>
      </c>
      <c r="L311" s="2367" t="str">
        <f>'Part II-Development Team'!L108</f>
        <v>frank.gudger@hawcpa.com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1748</v>
      </c>
      <c r="C313" s="2348" t="s">
        <v>293</v>
      </c>
      <c r="D313" s="2351"/>
      <c r="E313" s="2351"/>
      <c r="F313" s="2351"/>
      <c r="G313" s="2351"/>
      <c r="H313" s="2351" t="str">
        <f>'Part II-Development Team'!H110</f>
        <v>McKean and Associates, LLC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2004</v>
      </c>
      <c r="P313" s="2359"/>
      <c r="Q313" s="2351" t="str">
        <f>'Part II-Development Team'!Q110</f>
        <v>Rory McKean</v>
      </c>
      <c r="R313" s="2351">
        <f>'Part II-Development Team'!R110</f>
        <v>0</v>
      </c>
      <c r="S313" s="2351">
        <f>'Part II-Development Team'!S110</f>
        <v>0</v>
      </c>
    </row>
    <row r="314" spans="1:19">
      <c r="A314" s="2351"/>
      <c r="B314" s="2351"/>
      <c r="C314" s="2351"/>
      <c r="D314" s="2424"/>
      <c r="E314" s="2359" t="s">
        <v>1030</v>
      </c>
      <c r="F314" s="2362"/>
      <c r="G314" s="2351"/>
      <c r="H314" s="2351" t="str">
        <f>'Part II-Development Team'!H111</f>
        <v>2315 Eastchase Lane</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1759</v>
      </c>
      <c r="P314" s="2351"/>
      <c r="Q314" s="2351" t="str">
        <f>'Part II-Development Team'!Q111</f>
        <v>Owner</v>
      </c>
      <c r="R314" s="2351">
        <f>'Part II-Development Team'!R111</f>
        <v>0</v>
      </c>
      <c r="S314" s="2351">
        <f>'Part II-Development Team'!S111</f>
        <v>0</v>
      </c>
    </row>
    <row r="315" spans="1:19">
      <c r="A315" s="2351"/>
      <c r="B315" s="2351"/>
      <c r="C315" s="2351"/>
      <c r="D315" s="2424"/>
      <c r="E315" s="2359" t="s">
        <v>623</v>
      </c>
      <c r="F315" s="2351"/>
      <c r="G315" s="2351"/>
      <c r="H315" s="2351" t="str">
        <f>'Part II-Development Team'!H112</f>
        <v>Montgomery</v>
      </c>
      <c r="I315" s="2351">
        <f>'Part II-Development Team'!I112</f>
        <v>0</v>
      </c>
      <c r="J315" s="2351">
        <f>'Part II-Development Team'!J112</f>
        <v>0</v>
      </c>
      <c r="K315" s="2356" t="s">
        <v>2721</v>
      </c>
      <c r="L315" s="2351">
        <f>'Part II-Development Team'!L112</f>
        <v>0</v>
      </c>
      <c r="M315" s="2351">
        <f>'Part II-Development Team'!M112</f>
        <v>0</v>
      </c>
      <c r="N315" s="2351">
        <f>'Part II-Development Team'!N112</f>
        <v>0</v>
      </c>
      <c r="O315" s="2359" t="s">
        <v>1733</v>
      </c>
      <c r="P315" s="2351"/>
      <c r="Q315" s="2372">
        <f>'Part II-Development Team'!Q112</f>
        <v>3362724040</v>
      </c>
      <c r="R315" s="2372">
        <f>'Part II-Development Team'!R112</f>
        <v>0</v>
      </c>
      <c r="S315" s="2372">
        <f>'Part II-Development Team'!S112</f>
        <v>0</v>
      </c>
    </row>
    <row r="316" spans="1:19">
      <c r="A316" s="2351"/>
      <c r="B316" s="2351"/>
      <c r="C316" s="2351"/>
      <c r="D316" s="2424"/>
      <c r="E316" s="2359" t="s">
        <v>1811</v>
      </c>
      <c r="F316" s="2351"/>
      <c r="G316" s="2351"/>
      <c r="H316" s="2359" t="str">
        <f>'Part II-Development Team'!H113</f>
        <v>AL</v>
      </c>
      <c r="I316" s="2351"/>
      <c r="J316" s="2351"/>
      <c r="K316" s="2356" t="s">
        <v>2244</v>
      </c>
      <c r="L316" s="2371">
        <f>'Part II-Development Team'!L113</f>
        <v>0</v>
      </c>
      <c r="M316" s="2371">
        <f>'Part II-Development Team'!M113</f>
        <v>0</v>
      </c>
      <c r="N316" s="2351"/>
      <c r="O316" s="2359" t="s">
        <v>1994</v>
      </c>
      <c r="P316" s="2351"/>
      <c r="Q316" s="2372">
        <f>'Part II-Development Team'!Q113</f>
        <v>0</v>
      </c>
      <c r="R316" s="2372">
        <f>'Part II-Development Team'!R113</f>
        <v>0</v>
      </c>
      <c r="S316" s="2372">
        <f>'Part II-Development Team'!S113</f>
        <v>0</v>
      </c>
    </row>
    <row r="317" spans="1:19">
      <c r="A317" s="2351"/>
      <c r="B317" s="2351"/>
      <c r="C317" s="2351"/>
      <c r="D317" s="2424"/>
      <c r="E317" s="2359" t="s">
        <v>4319</v>
      </c>
      <c r="F317" s="2351"/>
      <c r="G317" s="2351"/>
      <c r="H317" s="2372">
        <f>'Part II-Development Team'!H114</f>
        <v>3342724044</v>
      </c>
      <c r="I317" s="2372">
        <f>'Part II-Development Team'!I114</f>
        <v>0</v>
      </c>
      <c r="J317" s="2376">
        <f>'Part II-Development Team'!J114</f>
        <v>0</v>
      </c>
      <c r="K317" s="2356" t="s">
        <v>1999</v>
      </c>
      <c r="L317" s="2367">
        <f>'Part II-Development Team'!L114</f>
        <v>0</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1804</v>
      </c>
      <c r="B319" s="2348" t="s">
        <v>2619</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1998</v>
      </c>
      <c r="C320" s="2348" t="s">
        <v>4736</v>
      </c>
      <c r="D320" s="2351"/>
      <c r="E320" s="2351"/>
      <c r="F320" s="2351"/>
      <c r="G320" s="2351"/>
      <c r="H320" s="2351" t="str">
        <f>'Part II-Development Team'!H117</f>
        <v>Dublin Housing LLLP</v>
      </c>
      <c r="I320" s="2351">
        <f>'Part II-Development Team'!I117</f>
        <v>0</v>
      </c>
      <c r="J320" s="2351">
        <f>'Part II-Development Team'!J117</f>
        <v>0</v>
      </c>
      <c r="K320" s="2356" t="s">
        <v>2489</v>
      </c>
      <c r="L320" s="2351" t="str">
        <f>'Part II-Development Team'!L117</f>
        <v>Jerry W. Braden</v>
      </c>
      <c r="M320" s="2351">
        <f>'Part II-Development Team'!M117</f>
        <v>0</v>
      </c>
      <c r="N320" s="2351">
        <f>'Part II-Development Team'!N117</f>
        <v>0</v>
      </c>
      <c r="O320" s="2359" t="s">
        <v>3602</v>
      </c>
      <c r="P320" s="2351"/>
      <c r="Q320" s="2351">
        <f>'Part II-Development Team'!Q117</f>
        <v>7068571414</v>
      </c>
      <c r="R320" s="2351">
        <f>'Part II-Development Team'!R117</f>
        <v>0</v>
      </c>
      <c r="S320" s="2351">
        <f>'Part II-Development Team'!S117</f>
        <v>0</v>
      </c>
    </row>
    <row r="321" spans="1:19">
      <c r="A321" s="2351"/>
      <c r="B321" s="2351"/>
      <c r="C321" s="2351"/>
      <c r="D321" s="2424"/>
      <c r="E321" s="2359" t="s">
        <v>1030</v>
      </c>
      <c r="F321" s="2362"/>
      <c r="G321" s="2351"/>
      <c r="H321" s="2351" t="str">
        <f>'Part II-Development Team'!H118</f>
        <v>135 North Washington Street</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623</v>
      </c>
      <c r="P321" s="2351"/>
      <c r="Q321" s="2351" t="str">
        <f>'Part II-Development Team'!Q118</f>
        <v>Summerville</v>
      </c>
      <c r="R321" s="2351">
        <f>'Part II-Development Team'!R118</f>
        <v>0</v>
      </c>
      <c r="S321" s="2351">
        <f>'Part II-Development Team'!S118</f>
        <v>0</v>
      </c>
    </row>
    <row r="322" spans="1:19">
      <c r="A322" s="2351"/>
      <c r="B322" s="2351"/>
      <c r="C322" s="2351"/>
      <c r="D322" s="2424"/>
      <c r="E322" s="2359" t="s">
        <v>1811</v>
      </c>
      <c r="F322" s="2351"/>
      <c r="G322" s="2351"/>
      <c r="H322" s="2359" t="str">
        <f>'Part II-Development Team'!H119</f>
        <v>GA</v>
      </c>
      <c r="I322" s="2356" t="s">
        <v>2244</v>
      </c>
      <c r="J322" s="2371">
        <f>'Part II-Development Team'!J119</f>
        <v>307470447</v>
      </c>
      <c r="K322" s="2371">
        <f>'Part II-Development Team'!K119</f>
        <v>0</v>
      </c>
      <c r="L322" s="2356" t="s">
        <v>1999</v>
      </c>
      <c r="M322" s="2367" t="str">
        <f>'Part II-Development Team'!M119</f>
        <v>jerry@thebradengroup.com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2000</v>
      </c>
      <c r="C323" s="2348" t="s">
        <v>2853</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3916</v>
      </c>
      <c r="B324" s="2430"/>
      <c r="C324" s="2430"/>
      <c r="D324" s="2430"/>
      <c r="E324" s="2430"/>
      <c r="F324" s="2376" t="s">
        <v>2526</v>
      </c>
      <c r="G324" s="2365" t="s">
        <v>3501</v>
      </c>
      <c r="H324" s="2365"/>
      <c r="I324" s="2365"/>
      <c r="J324" s="2365"/>
      <c r="K324" s="2365"/>
      <c r="L324" s="2365"/>
      <c r="M324" s="2365"/>
      <c r="N324" s="2365"/>
      <c r="O324" s="2365"/>
      <c r="P324" s="2365"/>
      <c r="Q324" s="2365"/>
      <c r="R324" s="2365"/>
      <c r="S324" s="2365"/>
    </row>
    <row r="325" spans="1:19" ht="12.75" customHeight="1">
      <c r="A325" s="2351"/>
      <c r="B325" s="2413"/>
      <c r="C325" s="2431" t="s">
        <v>2001</v>
      </c>
      <c r="D325" s="2347" t="s">
        <v>2854</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2003</v>
      </c>
      <c r="D326" s="2347" t="s">
        <v>2920</v>
      </c>
      <c r="E326" s="2347"/>
      <c r="F326" s="2432" t="str">
        <f>'Part II-Development Team'!F123</f>
        <v>Yes</v>
      </c>
      <c r="G326" s="2433" t="str">
        <f>'Part II-Development Team'!G123</f>
        <v>Dublin Housing LLLP (Hillcrest Apartments) is owned by Jerry W. Braden who is the new owner and developer along with Annamarie Braden</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2550</v>
      </c>
      <c r="D327" s="2347" t="s">
        <v>2896</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1235</v>
      </c>
      <c r="D328" s="2347" t="s">
        <v>2855</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1236</v>
      </c>
      <c r="D329" s="2347" t="s">
        <v>3488</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1895</v>
      </c>
      <c r="D330" s="2347" t="s">
        <v>3489</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507</v>
      </c>
      <c r="D331" s="2347" t="s">
        <v>2856</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508</v>
      </c>
      <c r="D332" s="2347" t="str">
        <f>'Part II-Development Team'!D129</f>
        <v>Other (Indicate here the two roles involved)</v>
      </c>
      <c r="E332" s="2347">
        <f>'Part II-Development Team'!E129</f>
        <v>0</v>
      </c>
      <c r="F332" s="2432" t="str">
        <f>'Part II-Development Team'!F129</f>
        <v>Yes</v>
      </c>
      <c r="G332" s="2433" t="str">
        <f>'Part II-Development Team'!G129</f>
        <v>Owner and Developer are the same, Jerry and Annamarie Braden, who are married</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1806</v>
      </c>
      <c r="B333" s="2348" t="s">
        <v>4737</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756</v>
      </c>
      <c r="C335" s="2348" t="s">
        <v>2857</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645</v>
      </c>
      <c r="B336" s="2347"/>
      <c r="C336" s="2347"/>
      <c r="D336" s="2347"/>
      <c r="E336" s="2347" t="s">
        <v>3469</v>
      </c>
      <c r="F336" s="2347"/>
      <c r="G336" s="2347"/>
      <c r="H336" s="2347"/>
      <c r="I336" s="2347"/>
      <c r="J336" s="2347" t="s">
        <v>3470</v>
      </c>
      <c r="K336" s="2434" t="s">
        <v>4738</v>
      </c>
      <c r="L336" s="2434" t="s">
        <v>4739</v>
      </c>
      <c r="M336" s="2434" t="s">
        <v>4740</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4741</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2526</v>
      </c>
      <c r="J340" s="2347"/>
      <c r="K340" s="2434"/>
      <c r="L340" s="2434"/>
      <c r="M340" s="2376" t="s">
        <v>2526</v>
      </c>
      <c r="N340" s="2382" t="s">
        <v>2926</v>
      </c>
      <c r="O340" s="2382"/>
      <c r="P340" s="2382"/>
      <c r="Q340" s="2382"/>
      <c r="R340" s="2382"/>
      <c r="S340" s="2382"/>
    </row>
    <row r="341" spans="1:19" ht="13.5" customHeight="1">
      <c r="A341" s="2423" t="s">
        <v>3464</v>
      </c>
      <c r="B341" s="2423"/>
      <c r="C341" s="2423"/>
      <c r="D341" s="2423"/>
      <c r="E341" s="2433" t="str">
        <f>'Part II-Development Team'!E138</f>
        <v>Braden Laurens, LLC, Jerry and Annamarie Braden</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Yes</v>
      </c>
      <c r="N341" s="2433" t="str">
        <f>'Part II-Development Team'!N138</f>
        <v>Owner &amp; Developer are the same, Jerry  &amp; Annamarie Braden</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3465</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3466</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3467</v>
      </c>
      <c r="B344" s="2423"/>
      <c r="C344" s="2423"/>
      <c r="D344" s="2423"/>
      <c r="E344" s="2433" t="str">
        <f>'Part II-Development Team'!E141</f>
        <v>Raymond James</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0.99990000000000001</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3468</v>
      </c>
      <c r="B345" s="2423"/>
      <c r="C345" s="2423"/>
      <c r="D345" s="2423"/>
      <c r="E345" s="2433" t="str">
        <f>'Part II-Development Team'!E142</f>
        <v>Raymond James</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2913</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76.5">
      <c r="A347" s="2423" t="s">
        <v>658</v>
      </c>
      <c r="B347" s="2423"/>
      <c r="C347" s="2423"/>
      <c r="D347" s="2423"/>
      <c r="E347" s="2433" t="str">
        <f>'Part II-Development Team'!E144</f>
        <v>Braden Development LLC (Jerry &amp; Annamarie Braden)</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Yes</v>
      </c>
      <c r="N347" s="2433" t="str">
        <f>'Part II-Development Team'!N144</f>
        <v>Owner &amp; Developer are the same, Jerry &amp; Annamarie Braden</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2914</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2915</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2917</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2916</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38.25">
      <c r="A352" s="2423" t="s">
        <v>1540</v>
      </c>
      <c r="B352" s="2423"/>
      <c r="C352" s="2423"/>
      <c r="D352" s="2423"/>
      <c r="E352" s="2433" t="str">
        <f>'Part II-Development Team'!E149</f>
        <v>Olympia Construction, Inc</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2918</v>
      </c>
      <c r="B353" s="2423"/>
      <c r="C353" s="2423"/>
      <c r="D353" s="2423"/>
      <c r="E353" s="2433" t="str">
        <f>'Part II-Development Team'!E150</f>
        <v>Boyd Management Company</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543</v>
      </c>
      <c r="L354" s="2439">
        <f>SUM(L341:S353)</f>
        <v>1</v>
      </c>
      <c r="M354" s="2356"/>
      <c r="N354" s="2351"/>
      <c r="O354" s="2351"/>
      <c r="P354" s="2358"/>
      <c r="Q354" s="2351"/>
      <c r="R354" s="2351"/>
      <c r="S354" s="2351"/>
    </row>
    <row r="355" spans="1:19">
      <c r="A355" s="2399" t="s">
        <v>534</v>
      </c>
      <c r="B355" s="2401"/>
      <c r="C355" s="2399" t="s">
        <v>576</v>
      </c>
      <c r="D355" s="2358"/>
      <c r="E355" s="2358"/>
      <c r="F355" s="2358"/>
      <c r="G355" s="2358"/>
      <c r="H355" s="2358"/>
      <c r="I355" s="2358"/>
      <c r="J355" s="2358"/>
      <c r="K355" s="2358"/>
      <c r="L355" s="2358"/>
      <c r="M355" s="2358"/>
      <c r="N355" s="2399" t="s">
        <v>534</v>
      </c>
      <c r="O355" s="2399" t="s">
        <v>80</v>
      </c>
      <c r="P355" s="2358"/>
      <c r="Q355" s="2358"/>
      <c r="R355" s="2358"/>
      <c r="S355" s="2358"/>
    </row>
    <row r="356" spans="1:19" ht="12.75" customHeight="1">
      <c r="A356" s="2423" t="str">
        <f>'Part II-Development Team'!A153</f>
        <v>Developer Entity is 50% owned by Annamarie Braden , a female.  The seller of the land, Dublin Housing LLLP is owned by Jerry Braden and the new Hillcrest Apartments L.P. will be owned by Jerry Braden 51% and Annamarie Braden 49%</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2018-032 Hillcrest Apartments, Dublin, Laurens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621</v>
      </c>
      <c r="B366" s="2399" t="s">
        <v>2506</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2425</v>
      </c>
      <c r="D368" s="2351"/>
      <c r="E368" s="2363"/>
      <c r="F368" s="2363"/>
      <c r="G368" s="2363"/>
      <c r="H368" s="2356" t="str">
        <f>'Part III-Sources of Funds'!H5</f>
        <v>No</v>
      </c>
      <c r="I368" s="2359" t="s">
        <v>1548</v>
      </c>
      <c r="J368" s="2363"/>
      <c r="K368" s="2363"/>
      <c r="L368" s="2356" t="str">
        <f>'Part III-Sources of Funds'!L5</f>
        <v>No</v>
      </c>
      <c r="M368" s="2351" t="s">
        <v>3923</v>
      </c>
      <c r="N368" s="2363"/>
      <c r="O368" s="2363"/>
      <c r="P368" s="2363"/>
      <c r="Q368" s="2363"/>
    </row>
    <row r="369" spans="1:17" ht="13.5">
      <c r="A369" s="2349"/>
      <c r="B369" s="2356" t="str">
        <f>'Part III-Sources of Funds'!B6</f>
        <v>No</v>
      </c>
      <c r="C369" s="2359" t="s">
        <v>554</v>
      </c>
      <c r="D369" s="2351"/>
      <c r="E369" s="2363"/>
      <c r="F369" s="2363"/>
      <c r="G369" s="2363"/>
      <c r="H369" s="2356" t="str">
        <f>'Part III-Sources of Funds'!H6</f>
        <v>No</v>
      </c>
      <c r="I369" s="2359" t="s">
        <v>553</v>
      </c>
      <c r="J369" s="2363"/>
      <c r="K369" s="2363"/>
      <c r="L369" s="2356" t="str">
        <f>'Part III-Sources of Funds'!L6</f>
        <v>No</v>
      </c>
      <c r="M369" s="2359" t="s">
        <v>2617</v>
      </c>
      <c r="N369" s="2363"/>
      <c r="O369" s="2363"/>
      <c r="P369" s="2363"/>
      <c r="Q369" s="2363"/>
    </row>
    <row r="370" spans="1:17" ht="13.5">
      <c r="A370" s="2351"/>
      <c r="B370" s="2356" t="str">
        <f>'Part III-Sources of Funds'!B7</f>
        <v>No</v>
      </c>
      <c r="C370" s="2359" t="s">
        <v>3920</v>
      </c>
      <c r="D370" s="2363"/>
      <c r="E370" s="2363"/>
      <c r="F370" s="2409">
        <f>'Part III-Sources of Funds'!F7</f>
        <v>0</v>
      </c>
      <c r="G370" s="2409">
        <f>'Part III-Sources of Funds'!G7</f>
        <v>0</v>
      </c>
      <c r="H370" s="2356" t="str">
        <f>'Part III-Sources of Funds'!H7</f>
        <v>No</v>
      </c>
      <c r="I370" s="2359" t="s">
        <v>3707</v>
      </c>
      <c r="J370" s="2363"/>
      <c r="K370" s="2363"/>
      <c r="L370" s="2356" t="str">
        <f>'Part III-Sources of Funds'!L7</f>
        <v>No</v>
      </c>
      <c r="M370" s="2359" t="s">
        <v>2618</v>
      </c>
      <c r="N370" s="2363"/>
      <c r="O370" s="2363"/>
      <c r="P370" s="2363"/>
      <c r="Q370" s="2363"/>
    </row>
    <row r="371" spans="1:17" ht="13.5">
      <c r="A371" s="2349"/>
      <c r="B371" s="2356" t="str">
        <f>'Part III-Sources of Funds'!B8</f>
        <v>No</v>
      </c>
      <c r="C371" s="2359" t="s">
        <v>1815</v>
      </c>
      <c r="D371" s="2351"/>
      <c r="E371" s="2363"/>
      <c r="F371" s="2363"/>
      <c r="G371" s="2363"/>
      <c r="H371" s="2356" t="str">
        <f>'Part III-Sources of Funds'!H8</f>
        <v>No</v>
      </c>
      <c r="I371" s="2351" t="s">
        <v>2626</v>
      </c>
      <c r="J371" s="2363"/>
      <c r="K371" s="2363"/>
      <c r="L371" s="2356" t="str">
        <f>'Part III-Sources of Funds'!L8</f>
        <v>No</v>
      </c>
      <c r="M371" s="2359" t="s">
        <v>3712</v>
      </c>
      <c r="N371" s="2363"/>
      <c r="O371" s="2363"/>
      <c r="P371" s="2363"/>
      <c r="Q371" s="2363"/>
    </row>
    <row r="372" spans="1:17" ht="13.5">
      <c r="A372" s="2349"/>
      <c r="B372" s="2356" t="str">
        <f>'Part III-Sources of Funds'!B9</f>
        <v>No</v>
      </c>
      <c r="C372" s="2359" t="s">
        <v>555</v>
      </c>
      <c r="D372" s="2363"/>
      <c r="E372" s="2363"/>
      <c r="F372" s="2363"/>
      <c r="G372" s="2363"/>
      <c r="H372" s="2356" t="str">
        <f>'Part III-Sources of Funds'!H9</f>
        <v>No</v>
      </c>
      <c r="I372" s="2351" t="s">
        <v>2624</v>
      </c>
      <c r="J372" s="2363"/>
      <c r="K372" s="2363"/>
      <c r="L372" s="2356" t="str">
        <f>'Part III-Sources of Funds'!L9</f>
        <v>No</v>
      </c>
      <c r="M372" s="2359" t="s">
        <v>2625</v>
      </c>
      <c r="N372" s="2363"/>
      <c r="O372" s="2363"/>
      <c r="P372" s="2363"/>
      <c r="Q372" s="2363"/>
    </row>
    <row r="373" spans="1:17" ht="13.5">
      <c r="A373" s="2349"/>
      <c r="B373" s="2356" t="str">
        <f>'Part III-Sources of Funds'!B10</f>
        <v>No</v>
      </c>
      <c r="C373" s="2359" t="s">
        <v>3921</v>
      </c>
      <c r="D373" s="2363"/>
      <c r="E373" s="2363"/>
      <c r="F373" s="2363"/>
      <c r="G373" s="2440"/>
      <c r="H373" s="2356" t="str">
        <f>'Part III-Sources of Funds'!H10</f>
        <v>No</v>
      </c>
      <c r="I373" s="2351" t="s">
        <v>3748</v>
      </c>
      <c r="J373" s="2347"/>
      <c r="K373" s="2347"/>
      <c r="L373" s="2356" t="str">
        <f>'Part III-Sources of Funds'!L10</f>
        <v>No</v>
      </c>
      <c r="M373" s="2359" t="s">
        <v>3750</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4742</v>
      </c>
      <c r="D374" s="2351"/>
      <c r="E374" s="2441">
        <f>'Part III-Sources of Funds'!E11</f>
        <v>0</v>
      </c>
      <c r="F374" s="2442">
        <f>'Part III-Sources of Funds'!F11</f>
        <v>0</v>
      </c>
      <c r="G374" s="2363"/>
      <c r="H374" s="2356" t="str">
        <f>'Part III-Sources of Funds'!H11</f>
        <v>No</v>
      </c>
      <c r="I374" s="2351" t="s">
        <v>3753</v>
      </c>
      <c r="J374" s="2363"/>
      <c r="K374" s="2363"/>
      <c r="L374" s="2356" t="str">
        <f>'Part III-Sources of Funds'!L11</f>
        <v>No</v>
      </c>
      <c r="M374" s="2351" t="s">
        <v>3646</v>
      </c>
      <c r="N374" s="2363"/>
      <c r="O374" s="2363"/>
      <c r="P374" s="2363"/>
      <c r="Q374" s="2363"/>
    </row>
    <row r="375" spans="1:17" ht="13.5">
      <c r="A375" s="2349"/>
      <c r="B375" s="2356" t="str">
        <f>'Part III-Sources of Funds'!B12</f>
        <v>No</v>
      </c>
      <c r="C375" s="2359" t="s">
        <v>4743</v>
      </c>
      <c r="D375" s="2363"/>
      <c r="E375" s="2441">
        <f>'Part III-Sources of Funds'!E12</f>
        <v>0</v>
      </c>
      <c r="F375" s="2442">
        <f>'Part III-Sources of Funds'!F12</f>
        <v>0</v>
      </c>
      <c r="G375" s="2363"/>
      <c r="H375" s="2356" t="str">
        <f>'Part III-Sources of Funds'!H12</f>
        <v>No</v>
      </c>
      <c r="I375" s="2413" t="s">
        <v>2813</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3749</v>
      </c>
      <c r="D376" s="2363"/>
      <c r="E376" s="2363" t="str">
        <f>'Part III-Sources of Funds'!E13</f>
        <v>Specify Other HOME Source here</v>
      </c>
      <c r="F376" s="2363">
        <f>'Part III-Sources of Funds'!F13</f>
        <v>0</v>
      </c>
      <c r="G376" s="2363">
        <f>'Part III-Sources of Funds'!G13</f>
        <v>0</v>
      </c>
      <c r="H376" s="2356" t="str">
        <f>'Part III-Sources of Funds'!H13</f>
        <v>No</v>
      </c>
      <c r="I376" s="2359" t="s">
        <v>3922</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3713</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747</v>
      </c>
      <c r="B379" s="2352" t="s">
        <v>2360</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1884</v>
      </c>
      <c r="C381" s="2351"/>
      <c r="D381" s="2351"/>
      <c r="E381" s="2351"/>
      <c r="F381" s="2351"/>
      <c r="G381" s="2351"/>
      <c r="H381" s="2351" t="s">
        <v>1308</v>
      </c>
      <c r="I381" s="2351"/>
      <c r="J381" s="2351"/>
      <c r="K381" s="2351"/>
      <c r="L381" s="2351" t="s">
        <v>2005</v>
      </c>
      <c r="M381" s="2351"/>
      <c r="N381" s="2351" t="s">
        <v>1518</v>
      </c>
      <c r="O381" s="2351"/>
      <c r="P381" s="2351" t="s">
        <v>1642</v>
      </c>
      <c r="Q381" s="2351"/>
    </row>
    <row r="382" spans="1:17">
      <c r="A382" s="2351"/>
      <c r="B382" s="2351" t="s">
        <v>1602</v>
      </c>
      <c r="C382" s="2351"/>
      <c r="D382" s="2351"/>
      <c r="E382" s="2351"/>
      <c r="F382" s="2351"/>
      <c r="G382" s="2351"/>
      <c r="H382" s="2430">
        <f>'Part III-Sources of Funds'!H19</f>
        <v>0</v>
      </c>
      <c r="I382" s="2430">
        <f>'Part III-Sources of Funds'!I19</f>
        <v>0</v>
      </c>
      <c r="J382" s="2430">
        <f>'Part III-Sources of Funds'!J19</f>
        <v>0</v>
      </c>
      <c r="K382" s="2430">
        <f>'Part III-Sources of Funds'!K19</f>
        <v>0</v>
      </c>
      <c r="L382" s="2366">
        <f>'Part III-Sources of Funds'!L19</f>
        <v>0</v>
      </c>
      <c r="M382" s="2366">
        <f>'Part III-Sources of Funds'!M19</f>
        <v>0</v>
      </c>
      <c r="N382" s="2443">
        <f>'Part III-Sources of Funds'!N19</f>
        <v>0</v>
      </c>
      <c r="O382" s="2443">
        <f>'Part III-Sources of Funds'!O19</f>
        <v>0</v>
      </c>
      <c r="P382" s="2444">
        <f>'Part III-Sources of Funds'!P19</f>
        <v>24</v>
      </c>
      <c r="Q382" s="2444">
        <f>'Part III-Sources of Funds'!Q19</f>
        <v>0</v>
      </c>
    </row>
    <row r="383" spans="1:17">
      <c r="A383" s="2351"/>
      <c r="B383" s="2351" t="s">
        <v>1603</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1604</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2230</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808</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646</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13.5">
      <c r="A388" s="2351"/>
      <c r="B388" s="2351" t="s">
        <v>809</v>
      </c>
      <c r="C388" s="2351"/>
      <c r="D388" s="2351"/>
      <c r="E388" s="2351"/>
      <c r="F388" s="2363"/>
      <c r="G388" s="2363"/>
      <c r="H388" s="2430" t="str">
        <f>'Part III-Sources of Funds'!H25</f>
        <v>Raymond James</v>
      </c>
      <c r="I388" s="2430">
        <f>'Part III-Sources of Funds'!I25</f>
        <v>0</v>
      </c>
      <c r="J388" s="2430">
        <f>'Part III-Sources of Funds'!J25</f>
        <v>0</v>
      </c>
      <c r="K388" s="2430">
        <f>'Part III-Sources of Funds'!K25</f>
        <v>0</v>
      </c>
      <c r="L388" s="2366">
        <f>'Part III-Sources of Funds'!L25</f>
        <v>2171811</v>
      </c>
      <c r="M388" s="2366">
        <f>'Part III-Sources of Funds'!M25</f>
        <v>0</v>
      </c>
      <c r="N388" s="2351"/>
      <c r="O388" s="2351"/>
      <c r="P388" s="2351"/>
      <c r="Q388" s="2351"/>
    </row>
    <row r="389" spans="1:17" ht="13.5">
      <c r="A389" s="2351"/>
      <c r="B389" s="2351" t="s">
        <v>810</v>
      </c>
      <c r="C389" s="2351"/>
      <c r="D389" s="2351"/>
      <c r="E389" s="2351"/>
      <c r="F389" s="2363"/>
      <c r="G389" s="2363"/>
      <c r="H389" s="2430" t="str">
        <f>'Part III-Sources of Funds'!H26</f>
        <v>Raymond James</v>
      </c>
      <c r="I389" s="2430">
        <f>'Part III-Sources of Funds'!I26</f>
        <v>0</v>
      </c>
      <c r="J389" s="2430">
        <f>'Part III-Sources of Funds'!J26</f>
        <v>0</v>
      </c>
      <c r="K389" s="2430">
        <f>'Part III-Sources of Funds'!K26</f>
        <v>0</v>
      </c>
      <c r="L389" s="2366">
        <f>'Part III-Sources of Funds'!L26</f>
        <v>1149898</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1309</v>
      </c>
      <c r="C393" s="2351"/>
      <c r="D393" s="2351"/>
      <c r="E393" s="2351"/>
      <c r="F393" s="2351"/>
      <c r="G393" s="2351"/>
      <c r="H393" s="2351"/>
      <c r="I393" s="2351"/>
      <c r="J393" s="2363"/>
      <c r="K393" s="2363"/>
      <c r="L393" s="2445">
        <f>SUM(L382:L392)</f>
        <v>3321709</v>
      </c>
      <c r="M393" s="2445"/>
      <c r="N393" s="2358"/>
      <c r="O393" s="2363"/>
      <c r="P393" s="2363"/>
      <c r="Q393" s="2363"/>
    </row>
    <row r="394" spans="1:17" ht="13.5">
      <c r="A394" s="2351"/>
      <c r="B394" s="2359" t="s">
        <v>1310</v>
      </c>
      <c r="C394" s="2351"/>
      <c r="D394" s="2351"/>
      <c r="E394" s="2351"/>
      <c r="F394" s="2351"/>
      <c r="G394" s="2351"/>
      <c r="H394" s="2351"/>
      <c r="I394" s="2351"/>
      <c r="J394" s="2363"/>
      <c r="K394" s="2363"/>
      <c r="L394" s="2445">
        <f>'Part III-Sources of Funds'!L31</f>
        <v>3321709</v>
      </c>
      <c r="M394" s="2445">
        <f>'Part III-Sources of Funds'!M31</f>
        <v>0</v>
      </c>
      <c r="N394" s="2365"/>
      <c r="O394" s="2363"/>
      <c r="P394" s="2363"/>
      <c r="Q394" s="2363"/>
    </row>
    <row r="395" spans="1:17" ht="13.5">
      <c r="A395" s="2351"/>
      <c r="B395" s="2359" t="s">
        <v>2172</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749</v>
      </c>
      <c r="B397" s="2352" t="s">
        <v>807</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2114</v>
      </c>
      <c r="L398" s="2356" t="s">
        <v>1306</v>
      </c>
      <c r="M398" s="2356" t="s">
        <v>1311</v>
      </c>
      <c r="N398" s="2365" t="s">
        <v>35</v>
      </c>
      <c r="O398" s="2365"/>
      <c r="P398" s="2356"/>
      <c r="Q398" s="2348"/>
    </row>
    <row r="399" spans="1:17">
      <c r="A399" s="2351"/>
      <c r="B399" s="2359" t="s">
        <v>1884</v>
      </c>
      <c r="C399" s="2351"/>
      <c r="D399" s="2351"/>
      <c r="E399" s="2351" t="s">
        <v>1308</v>
      </c>
      <c r="F399" s="2351"/>
      <c r="G399" s="2351"/>
      <c r="H399" s="2351"/>
      <c r="I399" s="2351" t="s">
        <v>492</v>
      </c>
      <c r="J399" s="2351"/>
      <c r="K399" s="2356" t="s">
        <v>1818</v>
      </c>
      <c r="L399" s="2356" t="s">
        <v>2229</v>
      </c>
      <c r="M399" s="2356" t="s">
        <v>2229</v>
      </c>
      <c r="N399" s="2365"/>
      <c r="O399" s="2365"/>
      <c r="P399" s="2351" t="s">
        <v>75</v>
      </c>
      <c r="Q399" s="2351"/>
    </row>
    <row r="400" spans="1:17">
      <c r="A400" s="2351"/>
      <c r="B400" s="2351" t="s">
        <v>2630</v>
      </c>
      <c r="C400" s="2351"/>
      <c r="D400" s="2351"/>
      <c r="E400" s="2430">
        <f>'Part III-Sources of Funds'!E37</f>
        <v>0</v>
      </c>
      <c r="F400" s="2430">
        <f>'Part III-Sources of Funds'!F37</f>
        <v>0</v>
      </c>
      <c r="G400" s="2430">
        <f>'Part III-Sources of Funds'!G37</f>
        <v>0</v>
      </c>
      <c r="H400" s="2430">
        <f>'Part III-Sources of Funds'!H37</f>
        <v>0</v>
      </c>
      <c r="I400" s="2387">
        <f>'Part III-Sources of Funds'!I37</f>
        <v>0</v>
      </c>
      <c r="J400" s="2351">
        <f>'Part III-Sources of Funds'!J37</f>
        <v>0</v>
      </c>
      <c r="K400" s="2448">
        <f>'Part III-Sources of Funds'!K37</f>
        <v>0</v>
      </c>
      <c r="L400" s="2356">
        <f>'Part III-Sources of Funds'!L37</f>
        <v>0</v>
      </c>
      <c r="M400" s="2356">
        <f>'Part III-Sources of Funds'!M37</f>
        <v>0</v>
      </c>
      <c r="N400" s="2449" t="str">
        <f>'Part III-Sources of Funds'!N37</f>
        <v/>
      </c>
      <c r="O400" s="2449">
        <f>'Part III-Sources of Funds'!O37</f>
        <v>0</v>
      </c>
      <c r="P400" s="2351">
        <f>'Part III-Sources of Funds'!P37</f>
        <v>0</v>
      </c>
      <c r="Q400" s="2351">
        <f>'Part III-Sources of Funds'!Q37</f>
        <v>0</v>
      </c>
    </row>
    <row r="401" spans="1:17">
      <c r="A401" s="2351"/>
      <c r="B401" s="2351" t="s">
        <v>2631</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2632</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748</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2766</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38.25">
      <c r="A405" s="2351"/>
      <c r="B405" s="2351" t="s">
        <v>230</v>
      </c>
      <c r="C405" s="2351"/>
      <c r="D405" s="2450">
        <f>'Part III-Sources of Funds'!D42</f>
        <v>1.6314567637895985E-2</v>
      </c>
      <c r="E405" s="2430" t="str">
        <f>'Part III-Sources of Funds'!E42</f>
        <v>Deferred Developer fee</v>
      </c>
      <c r="F405" s="2430">
        <f>'Part III-Sources of Funds'!F42</f>
        <v>0</v>
      </c>
      <c r="G405" s="2430">
        <f>'Part III-Sources of Funds'!G42</f>
        <v>0</v>
      </c>
      <c r="H405" s="2430">
        <f>'Part III-Sources of Funds'!H42</f>
        <v>0</v>
      </c>
      <c r="I405" s="2387">
        <f>'Part III-Sources of Funds'!I42</f>
        <v>4069</v>
      </c>
      <c r="J405" s="2351">
        <f>'Part III-Sources of Funds'!J42</f>
        <v>0</v>
      </c>
      <c r="K405" s="2448">
        <f>'Part III-Sources of Funds'!K42</f>
        <v>0</v>
      </c>
      <c r="L405" s="2356">
        <f>'Part III-Sources of Funds'!L42</f>
        <v>1</v>
      </c>
      <c r="M405" s="2356">
        <f>'Part III-Sources of Funds'!M42</f>
        <v>0</v>
      </c>
      <c r="N405" s="2449">
        <f>'Part III-Sources of Funds'!N42</f>
        <v>4069</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4239</v>
      </c>
      <c r="C407" s="2351"/>
      <c r="D407" s="2363"/>
      <c r="E407" s="2363" t="s">
        <v>4135</v>
      </c>
      <c r="F407" s="2454">
        <f>'Part III-Sources of Funds'!F44</f>
        <v>55402.262400000007</v>
      </c>
      <c r="G407" s="2363"/>
      <c r="H407" s="2440" t="s">
        <v>4238</v>
      </c>
      <c r="I407" s="2454">
        <f>'Part III-Sources of Funds'!I44</f>
        <v>4069</v>
      </c>
      <c r="J407" s="2363"/>
      <c r="K407" s="2448"/>
      <c r="L407" s="2356"/>
      <c r="M407" s="2356"/>
      <c r="N407" s="2453"/>
      <c r="O407" s="2453"/>
      <c r="P407" s="2356"/>
      <c r="Q407" s="2356"/>
    </row>
    <row r="408" spans="1:17" ht="13.5">
      <c r="A408" s="2351"/>
      <c r="B408" s="2363" t="s">
        <v>4744</v>
      </c>
      <c r="C408" s="2351"/>
      <c r="D408" s="2450"/>
      <c r="E408" s="2363"/>
      <c r="F408" s="2455">
        <f>'Part III-Sources of Funds'!F45</f>
        <v>7.3444654130225551E-2</v>
      </c>
      <c r="G408" s="2455">
        <f>'Part III-Sources of Funds'!G45</f>
        <v>0</v>
      </c>
      <c r="H408" s="2440" t="s">
        <v>4240</v>
      </c>
      <c r="I408" s="2455">
        <f>'Part III-Sources of Funds'!I45</f>
        <v>7.3444654130225551E-2</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2230</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808</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521</v>
      </c>
      <c r="M411" s="2456"/>
      <c r="N411" s="2457" t="s">
        <v>522</v>
      </c>
      <c r="O411" s="2457"/>
      <c r="P411" s="2356" t="s">
        <v>520</v>
      </c>
      <c r="Q411" s="2351"/>
    </row>
    <row r="412" spans="1:17" ht="25.5">
      <c r="A412" s="2351"/>
      <c r="B412" s="2351" t="s">
        <v>809</v>
      </c>
      <c r="C412" s="2351"/>
      <c r="D412" s="2351"/>
      <c r="E412" s="2430" t="str">
        <f>'Part III-Sources of Funds'!E49</f>
        <v>Raymond James</v>
      </c>
      <c r="F412" s="2430">
        <f>'Part III-Sources of Funds'!F49</f>
        <v>0</v>
      </c>
      <c r="G412" s="2430">
        <f>'Part III-Sources of Funds'!G49</f>
        <v>0</v>
      </c>
      <c r="H412" s="2430">
        <f>'Part III-Sources of Funds'!H49</f>
        <v>0</v>
      </c>
      <c r="I412" s="2387">
        <f>'Part III-Sources of Funds'!I49</f>
        <v>2507249</v>
      </c>
      <c r="J412" s="2351">
        <f>'Part III-Sources of Funds'!J49</f>
        <v>0</v>
      </c>
      <c r="K412" s="2363"/>
      <c r="L412" s="2458">
        <f>'Part IV-A-Uses of Funds'!$J$175*10*'Part IV-A-Uses of Funds'!$N$168</f>
        <v>2507500</v>
      </c>
      <c r="M412" s="2458"/>
      <c r="N412" s="2459">
        <f>I412-L412</f>
        <v>-251</v>
      </c>
      <c r="O412" s="2459"/>
      <c r="P412" s="2460" t="s">
        <v>2576</v>
      </c>
      <c r="Q412" s="2351"/>
    </row>
    <row r="413" spans="1:17" ht="25.5">
      <c r="A413" s="2351"/>
      <c r="B413" s="2351" t="s">
        <v>810</v>
      </c>
      <c r="C413" s="2351"/>
      <c r="D413" s="2351"/>
      <c r="E413" s="2430" t="str">
        <f>'Part III-Sources of Funds'!E50</f>
        <v>Raymond James</v>
      </c>
      <c r="F413" s="2430">
        <f>'Part III-Sources of Funds'!F50</f>
        <v>0</v>
      </c>
      <c r="G413" s="2430">
        <f>'Part III-Sources of Funds'!G50</f>
        <v>0</v>
      </c>
      <c r="H413" s="2430">
        <f>'Part III-Sources of Funds'!H50</f>
        <v>0</v>
      </c>
      <c r="I413" s="2387">
        <f>'Part III-Sources of Funds'!I50</f>
        <v>1327500</v>
      </c>
      <c r="J413" s="2351">
        <f>'Part III-Sources of Funds'!J50</f>
        <v>0</v>
      </c>
      <c r="K413" s="2363"/>
      <c r="L413" s="2458">
        <f>'Part IV-A-Uses of Funds'!$J$175*10*'Part IV-A-Uses of Funds'!$Q$168</f>
        <v>1327500</v>
      </c>
      <c r="M413" s="2458"/>
      <c r="N413" s="2459">
        <f>I413-L413</f>
        <v>0</v>
      </c>
      <c r="O413" s="2459"/>
      <c r="P413" s="2461">
        <f>I412/I422</f>
        <v>0.65313046880576264</v>
      </c>
      <c r="Q413" s="2351"/>
    </row>
    <row r="414" spans="1:17" ht="13.5">
      <c r="A414" s="2351"/>
      <c r="B414" s="2351" t="s">
        <v>1421</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0.3458095695081142</v>
      </c>
      <c r="Q414" s="2351"/>
    </row>
    <row r="415" spans="1:17" ht="13.5">
      <c r="A415" s="2351"/>
      <c r="B415" s="2351" t="s">
        <v>535</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0.9989400383138769</v>
      </c>
      <c r="Q415" s="2351"/>
    </row>
    <row r="416" spans="1:17" ht="13.5">
      <c r="A416" s="2351"/>
      <c r="B416" s="2351" t="s">
        <v>1882</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1883</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748</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748</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748</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2231</v>
      </c>
      <c r="C421" s="2351"/>
      <c r="D421" s="2351"/>
      <c r="E421" s="2351"/>
      <c r="F421" s="2351"/>
      <c r="G421" s="2351"/>
      <c r="H421" s="2363"/>
      <c r="I421" s="2445">
        <f>SUM(I400:J405)+SUM(I410:J420)</f>
        <v>3838818</v>
      </c>
      <c r="J421" s="2445"/>
      <c r="K421" s="2351"/>
      <c r="L421" s="2356"/>
      <c r="M421" s="2430"/>
      <c r="N421" s="2430"/>
      <c r="O421" s="2430"/>
      <c r="P421" s="2430"/>
      <c r="Q421" s="2351"/>
    </row>
    <row r="422" spans="1:17" ht="13.5">
      <c r="A422" s="2351"/>
      <c r="B422" s="2359" t="s">
        <v>2232</v>
      </c>
      <c r="C422" s="2351"/>
      <c r="D422" s="2351"/>
      <c r="E422" s="2351"/>
      <c r="F422" s="2351"/>
      <c r="G422" s="2351"/>
      <c r="H422" s="2363"/>
      <c r="I422" s="2445">
        <f>'Part IV-A-Uses of Funds'!$G$132</f>
        <v>3838818</v>
      </c>
      <c r="J422" s="2445"/>
      <c r="K422" s="2351"/>
      <c r="L422" s="2356"/>
      <c r="M422" s="2430"/>
      <c r="N422" s="2430"/>
      <c r="O422" s="2430"/>
      <c r="P422" s="2430"/>
      <c r="Q422" s="2351"/>
    </row>
    <row r="423" spans="1:17" ht="13.5">
      <c r="A423" s="2351"/>
      <c r="B423" s="2359" t="s">
        <v>1536</v>
      </c>
      <c r="C423" s="2351"/>
      <c r="D423" s="2351"/>
      <c r="E423" s="2351"/>
      <c r="F423" s="2351"/>
      <c r="G423" s="2351"/>
      <c r="H423" s="2363"/>
      <c r="I423" s="2446">
        <f>I421-I422</f>
        <v>0</v>
      </c>
      <c r="J423" s="2446"/>
      <c r="K423" s="2351"/>
      <c r="L423" s="2356"/>
      <c r="M423" s="2430"/>
      <c r="N423" s="2430"/>
      <c r="O423" s="2430"/>
      <c r="P423" s="2430"/>
      <c r="Q423" s="2351"/>
    </row>
    <row r="424" spans="1:17">
      <c r="A424" s="2351" t="s">
        <v>3490</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1804</v>
      </c>
      <c r="B426" s="2348" t="s">
        <v>576</v>
      </c>
      <c r="C426" s="2358"/>
      <c r="D426" s="2358"/>
      <c r="E426" s="2358"/>
      <c r="F426" s="2358"/>
      <c r="G426" s="2358"/>
      <c r="H426" s="2358"/>
      <c r="I426" s="2358"/>
      <c r="J426" s="2358"/>
      <c r="K426" s="2447"/>
      <c r="L426" s="2447"/>
      <c r="M426" s="2348" t="s">
        <v>1804</v>
      </c>
      <c r="N426" s="2348" t="s">
        <v>80</v>
      </c>
      <c r="O426" s="2358"/>
      <c r="P426" s="2358"/>
      <c r="Q426" s="2358"/>
    </row>
    <row r="427" spans="1:17" ht="12.75" customHeight="1">
      <c r="A427" s="2423" t="str">
        <f>'Part III-Sources of Funds'!A64</f>
        <v>Raymond James is buying both the Federal and Statae Credits and will fund during construction.</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2018-032 Hillcrest Apartments,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2018-032 Hillcrest Apartments,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621</v>
      </c>
      <c r="B441" s="2462" t="s">
        <v>908</v>
      </c>
      <c r="C441" s="2351"/>
      <c r="D441" s="2351"/>
      <c r="E441" s="2351"/>
      <c r="F441" s="2351"/>
      <c r="G441" s="2351"/>
      <c r="H441" s="2462"/>
      <c r="I441" s="2462"/>
      <c r="J441" s="2350" t="s">
        <v>273</v>
      </c>
      <c r="K441" s="2350"/>
      <c r="L441" s="2366"/>
      <c r="M441" s="2463" t="s">
        <v>493</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2699</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2015</v>
      </c>
      <c r="C444" s="2351"/>
      <c r="D444" s="2351"/>
      <c r="E444" s="2351"/>
      <c r="F444" s="2351"/>
      <c r="G444" s="2366">
        <f>'Part IV-A-Uses of Funds'!G8</f>
        <v>3000</v>
      </c>
      <c r="H444" s="2366">
        <f>'Part IV-A-Uses of Funds'!H8</f>
        <v>0</v>
      </c>
      <c r="I444" s="2351"/>
      <c r="J444" s="2366">
        <f>'Part IV-A-Uses of Funds'!J8</f>
        <v>0</v>
      </c>
      <c r="K444" s="2366">
        <f>'Part IV-A-Uses of Funds'!K8</f>
        <v>0</v>
      </c>
      <c r="L444" s="2381"/>
      <c r="M444" s="2366">
        <f>'Part IV-A-Uses of Funds'!M8</f>
        <v>0</v>
      </c>
      <c r="N444" s="2366">
        <f>'Part IV-A-Uses of Funds'!N8</f>
        <v>0</v>
      </c>
      <c r="O444" s="2351"/>
      <c r="P444" s="2366">
        <f>'Part IV-A-Uses of Funds'!P8</f>
        <v>3000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5150</v>
      </c>
      <c r="H445" s="2366">
        <f>'Part IV-A-Uses of Funds'!H9</f>
        <v>0</v>
      </c>
      <c r="I445" s="2351"/>
      <c r="J445" s="2366">
        <f>'Part IV-A-Uses of Funds'!J9</f>
        <v>0</v>
      </c>
      <c r="K445" s="2366">
        <f>'Part IV-A-Uses of Funds'!K9</f>
        <v>0</v>
      </c>
      <c r="L445" s="2381"/>
      <c r="M445" s="2366">
        <f>'Part IV-A-Uses of Funds'!M9</f>
        <v>0</v>
      </c>
      <c r="N445" s="2366">
        <f>'Part IV-A-Uses of Funds'!N9</f>
        <v>0</v>
      </c>
      <c r="O445" s="2351"/>
      <c r="P445" s="2366">
        <f>'Part IV-A-Uses of Funds'!P9</f>
        <v>5150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490</v>
      </c>
      <c r="C446" s="2351"/>
      <c r="D446" s="2351"/>
      <c r="E446" s="2351"/>
      <c r="F446" s="2351"/>
      <c r="G446" s="2366">
        <f>'Part IV-A-Uses of Funds'!G10</f>
        <v>8500</v>
      </c>
      <c r="H446" s="2366">
        <f>'Part IV-A-Uses of Funds'!H10</f>
        <v>0</v>
      </c>
      <c r="I446" s="2351"/>
      <c r="J446" s="2366">
        <f>'Part IV-A-Uses of Funds'!J10</f>
        <v>0</v>
      </c>
      <c r="K446" s="2366">
        <f>'Part IV-A-Uses of Funds'!K10</f>
        <v>0</v>
      </c>
      <c r="L446" s="2381"/>
      <c r="M446" s="2366">
        <f>'Part IV-A-Uses of Funds'!M10</f>
        <v>0</v>
      </c>
      <c r="N446" s="2366">
        <f>'Part IV-A-Uses of Funds'!N10</f>
        <v>0</v>
      </c>
      <c r="O446" s="2351"/>
      <c r="P446" s="2366">
        <f>'Part IV-A-Uses of Funds'!P10</f>
        <v>8500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491</v>
      </c>
      <c r="C447" s="2351"/>
      <c r="D447" s="2351"/>
      <c r="E447" s="2351"/>
      <c r="F447" s="2351"/>
      <c r="G447" s="2366">
        <f>'Part IV-A-Uses of Funds'!G11</f>
        <v>0</v>
      </c>
      <c r="H447" s="2366">
        <f>'Part IV-A-Uses of Funds'!H11</f>
        <v>0</v>
      </c>
      <c r="I447" s="2351"/>
      <c r="J447" s="2366">
        <f>'Part IV-A-Uses of Funds'!J11</f>
        <v>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2515</v>
      </c>
      <c r="C448" s="2351"/>
      <c r="D448" s="2351"/>
      <c r="E448" s="2351"/>
      <c r="F448" s="2351"/>
      <c r="G448" s="2366">
        <f>'Part IV-A-Uses of Funds'!G12</f>
        <v>8000</v>
      </c>
      <c r="H448" s="2366">
        <f>'Part IV-A-Uses of Funds'!H12</f>
        <v>0</v>
      </c>
      <c r="I448" s="2351"/>
      <c r="J448" s="2366">
        <f>'Part IV-A-Uses of Funds'!J12</f>
        <v>0</v>
      </c>
      <c r="K448" s="2366">
        <f>'Part IV-A-Uses of Funds'!K12</f>
        <v>0</v>
      </c>
      <c r="L448" s="2381"/>
      <c r="M448" s="2366">
        <f>'Part IV-A-Uses of Funds'!M12</f>
        <v>0</v>
      </c>
      <c r="N448" s="2366">
        <f>'Part IV-A-Uses of Funds'!N12</f>
        <v>0</v>
      </c>
      <c r="O448" s="2351"/>
      <c r="P448" s="2366">
        <f>'Part IV-A-Uses of Funds'!P12</f>
        <v>8000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0</v>
      </c>
      <c r="H449" s="2366">
        <f>'Part IV-A-Uses of Funds'!H13</f>
        <v>0</v>
      </c>
      <c r="I449" s="2351"/>
      <c r="J449" s="2366">
        <f>'Part IV-A-Uses of Funds'!J13</f>
        <v>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748</v>
      </c>
      <c r="C450" s="2369" t="str">
        <f>'Part IV-A-Uses of Funds'!C14</f>
        <v>Property Needs Assessment</v>
      </c>
      <c r="D450" s="2369">
        <f>'Part IV-A-Uses of Funds'!D14</f>
        <v>0</v>
      </c>
      <c r="E450" s="2369">
        <f>'Part IV-A-Uses of Funds'!E14</f>
        <v>0</v>
      </c>
      <c r="F450" s="2369">
        <f>'Part IV-A-Uses of Funds'!F14</f>
        <v>0</v>
      </c>
      <c r="G450" s="2366">
        <f>'Part IV-A-Uses of Funds'!G14</f>
        <v>5000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5000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748</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748</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29650</v>
      </c>
      <c r="H453" s="2366"/>
      <c r="I453" s="2351"/>
      <c r="J453" s="2366">
        <f>SUM(J444:K452)</f>
        <v>0</v>
      </c>
      <c r="K453" s="2382"/>
      <c r="L453" s="2381"/>
      <c r="M453" s="2366">
        <f>SUM(M444:N452)</f>
        <v>0</v>
      </c>
      <c r="N453" s="2366"/>
      <c r="O453" s="2351"/>
      <c r="P453" s="2366">
        <f>SUM(P444:Q452)</f>
        <v>29650</v>
      </c>
      <c r="Q453" s="2366"/>
      <c r="R453" s="2351"/>
      <c r="S453" s="2366">
        <f>SUM(S444:T452)</f>
        <v>0</v>
      </c>
      <c r="T453" s="2366"/>
      <c r="U453" s="2351"/>
      <c r="V453" s="2465">
        <f>SUM(V444:V452)</f>
        <v>0</v>
      </c>
      <c r="W453" s="1329"/>
      <c r="X453" s="1329"/>
    </row>
    <row r="454" spans="1:24">
      <c r="A454" s="2351"/>
      <c r="B454" s="2348" t="s">
        <v>2212</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2213</v>
      </c>
      <c r="C455" s="2351"/>
      <c r="D455" s="2351"/>
      <c r="E455" s="2351"/>
      <c r="F455" s="2351"/>
      <c r="G455" s="2366">
        <f>'Part IV-A-Uses of Funds'!G19</f>
        <v>110000</v>
      </c>
      <c r="H455" s="2366">
        <f>'Part IV-A-Uses of Funds'!H19</f>
        <v>0</v>
      </c>
      <c r="I455" s="2351"/>
      <c r="J455" s="2381"/>
      <c r="K455" s="2366"/>
      <c r="L455" s="2381"/>
      <c r="M455" s="2381"/>
      <c r="N455" s="2366"/>
      <c r="O455" s="2351"/>
      <c r="P455" s="2381"/>
      <c r="Q455" s="2366"/>
      <c r="R455" s="2351"/>
      <c r="S455" s="2366">
        <f>'Part IV-A-Uses of Funds'!S19</f>
        <v>110000</v>
      </c>
      <c r="T455" s="2366">
        <f>'Part IV-A-Uses of Funds'!T19</f>
        <v>0</v>
      </c>
      <c r="U455" s="2351"/>
      <c r="V455" s="2465"/>
      <c r="W455" s="1329">
        <f>'Part IV-A-Uses of Funds'!W19</f>
        <v>0</v>
      </c>
      <c r="X455" s="1329">
        <f>'Part IV-A-Uses of Funds'!X19</f>
        <v>0</v>
      </c>
    </row>
    <row r="456" spans="1:24">
      <c r="A456" s="2351"/>
      <c r="B456" s="2351" t="s">
        <v>1128</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10000</v>
      </c>
      <c r="H457" s="2366">
        <f>'Part IV-A-Uses of Funds'!H21</f>
        <v>0</v>
      </c>
      <c r="I457" s="2351"/>
      <c r="J457" s="2381"/>
      <c r="K457" s="2366"/>
      <c r="L457" s="2381"/>
      <c r="M457" s="2366">
        <f>'Part IV-A-Uses of Funds'!M21</f>
        <v>10000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858975</v>
      </c>
      <c r="H458" s="2366">
        <f>'Part IV-A-Uses of Funds'!H22</f>
        <v>0</v>
      </c>
      <c r="I458" s="2351"/>
      <c r="J458" s="2381"/>
      <c r="K458" s="2366"/>
      <c r="L458" s="2381"/>
      <c r="M458" s="2366">
        <f>'Part IV-A-Uses of Funds'!M22</f>
        <v>858975</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978975</v>
      </c>
      <c r="H459" s="2366"/>
      <c r="I459" s="2351"/>
      <c r="J459" s="2381"/>
      <c r="K459" s="2366"/>
      <c r="L459" s="2381"/>
      <c r="M459" s="2366">
        <f>SUM(M457:N458)</f>
        <v>868975</v>
      </c>
      <c r="N459" s="2366"/>
      <c r="O459" s="2351"/>
      <c r="P459" s="2381"/>
      <c r="Q459" s="2366"/>
      <c r="R459" s="2351"/>
      <c r="S459" s="2366">
        <f>SUM(S455:T458)</f>
        <v>110000</v>
      </c>
      <c r="T459" s="2366"/>
      <c r="U459" s="2351"/>
      <c r="V459" s="2465">
        <f>SUM(V455:V458)</f>
        <v>0</v>
      </c>
      <c r="W459" s="1329"/>
      <c r="X459" s="1329"/>
    </row>
    <row r="460" spans="1:24">
      <c r="A460" s="2351"/>
      <c r="B460" s="2348" t="s">
        <v>1129</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1130</v>
      </c>
      <c r="C461" s="2351"/>
      <c r="D461" s="2351"/>
      <c r="E461" s="2415" t="s">
        <v>3756</v>
      </c>
      <c r="F461" s="2417">
        <f>IF('Part I-Project Information'!$O$37="","",G461/'Part I-Project Information'!$O$37)</f>
        <v>10229.645093945721</v>
      </c>
      <c r="G461" s="2366">
        <f>'Part IV-A-Uses of Funds'!G25</f>
        <v>49000</v>
      </c>
      <c r="H461" s="2366">
        <f>'Part IV-A-Uses of Funds'!H25</f>
        <v>0</v>
      </c>
      <c r="I461" s="2351"/>
      <c r="J461" s="2366">
        <f>'Part IV-A-Uses of Funds'!J25</f>
        <v>0</v>
      </c>
      <c r="K461" s="2366">
        <f>'Part IV-A-Uses of Funds'!K25</f>
        <v>0</v>
      </c>
      <c r="L461" s="2381"/>
      <c r="M461" s="2366">
        <f>'Part IV-A-Uses of Funds'!M25</f>
        <v>0</v>
      </c>
      <c r="N461" s="2366">
        <f>'Part IV-A-Uses of Funds'!N25</f>
        <v>0</v>
      </c>
      <c r="O461" s="2351"/>
      <c r="P461" s="2366">
        <f>'Part IV-A-Uses of Funds'!P25</f>
        <v>49000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1131</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49000</v>
      </c>
      <c r="H463" s="2366"/>
      <c r="I463" s="2351"/>
      <c r="J463" s="2366">
        <f>SUM(J461:K462)</f>
        <v>0</v>
      </c>
      <c r="K463" s="2366"/>
      <c r="L463" s="2381"/>
      <c r="M463" s="2366">
        <f>M461</f>
        <v>0</v>
      </c>
      <c r="N463" s="2366"/>
      <c r="O463" s="2351"/>
      <c r="P463" s="2366">
        <f>P461</f>
        <v>49000</v>
      </c>
      <c r="Q463" s="2366"/>
      <c r="R463" s="2351"/>
      <c r="S463" s="2366">
        <f>SUM(S461:T462)</f>
        <v>0</v>
      </c>
      <c r="T463" s="2366"/>
      <c r="U463" s="2351"/>
      <c r="V463" s="2465">
        <f>SUM(V461:V462)</f>
        <v>0</v>
      </c>
      <c r="W463" s="1329"/>
      <c r="X463" s="1329"/>
    </row>
    <row r="464" spans="1:24">
      <c r="A464" s="2351"/>
      <c r="B464" s="2348" t="s">
        <v>1132</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1133</v>
      </c>
      <c r="C465" s="2351"/>
      <c r="D465" s="2351"/>
      <c r="E465" s="2351"/>
      <c r="F465" s="2351"/>
      <c r="G465" s="2366">
        <f>'Part IV-A-Uses of Funds'!G29</f>
        <v>0</v>
      </c>
      <c r="H465" s="2366">
        <f>'Part IV-A-Uses of Funds'!H29</f>
        <v>0</v>
      </c>
      <c r="I465" s="2351"/>
      <c r="J465" s="2366">
        <f>'Part IV-A-Uses of Funds'!J29</f>
        <v>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1134</v>
      </c>
      <c r="C466" s="2351"/>
      <c r="D466" s="2351"/>
      <c r="E466" s="2351"/>
      <c r="F466" s="2351"/>
      <c r="G466" s="2366">
        <f>'Part IV-A-Uses of Funds'!G30</f>
        <v>1442939</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1442939</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2797</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2796</v>
      </c>
      <c r="C468" s="2358"/>
      <c r="D468" s="2358"/>
      <c r="E468" s="2358"/>
      <c r="F468" s="2358"/>
      <c r="G468" s="2366">
        <f>'Part IV-A-Uses of Funds'!G32</f>
        <v>69465</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69465</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1512404</v>
      </c>
      <c r="H469" s="2366"/>
      <c r="I469" s="2351"/>
      <c r="J469" s="2366">
        <f>SUM(J465:K468)</f>
        <v>0</v>
      </c>
      <c r="K469" s="2366"/>
      <c r="L469" s="2381"/>
      <c r="M469" s="2366">
        <f>SUM(M465:N468)</f>
        <v>0</v>
      </c>
      <c r="N469" s="2366"/>
      <c r="O469" s="2351"/>
      <c r="P469" s="2366">
        <f>SUM(P465:Q468)</f>
        <v>1512404</v>
      </c>
      <c r="Q469" s="2366"/>
      <c r="R469" s="2351"/>
      <c r="S469" s="2366">
        <f>SUM(S465:T468)</f>
        <v>0</v>
      </c>
      <c r="T469" s="2366"/>
      <c r="U469" s="2351"/>
      <c r="V469" s="2465">
        <f>SUM(V465:V468)</f>
        <v>0</v>
      </c>
      <c r="W469" s="1329"/>
      <c r="X469" s="1329"/>
    </row>
    <row r="470" spans="1:24" ht="13.5">
      <c r="A470" s="2351"/>
      <c r="B470" s="2348" t="s">
        <v>2358</v>
      </c>
      <c r="C470" s="2351"/>
      <c r="D470" s="2421" t="s">
        <v>3760</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2359</v>
      </c>
      <c r="C471" s="2351"/>
      <c r="D471" s="2475">
        <f>'DCA Underwriting Assumptions'!$R$74</f>
        <v>0.06</v>
      </c>
      <c r="E471" s="2476">
        <f>D471*(G463+G469)</f>
        <v>93684.239999999991</v>
      </c>
      <c r="F471" s="2475" t="e">
        <f>IF(($G$27+$G$33)=0,0,G471/($G$27+$G$33))</f>
        <v>#VALUE!</v>
      </c>
      <c r="G471" s="2366">
        <f>'Part IV-A-Uses of Funds'!G35</f>
        <v>93684</v>
      </c>
      <c r="H471" s="2366">
        <f>'Part IV-A-Uses of Funds'!H35</f>
        <v>0</v>
      </c>
      <c r="I471" s="2358"/>
      <c r="J471" s="2366">
        <f>'Part IV-A-Uses of Funds'!J35</f>
        <v>0</v>
      </c>
      <c r="K471" s="2366">
        <f>'Part IV-A-Uses of Funds'!K35</f>
        <v>0</v>
      </c>
      <c r="L471" s="2381"/>
      <c r="M471" s="2366">
        <f>'Part IV-A-Uses of Funds'!M35</f>
        <v>0</v>
      </c>
      <c r="N471" s="2366">
        <f>'Part IV-A-Uses of Funds'!N35</f>
        <v>0</v>
      </c>
      <c r="O471" s="2351"/>
      <c r="P471" s="2366">
        <f>'Part IV-A-Uses of Funds'!P35</f>
        <v>93684</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2753</v>
      </c>
      <c r="C472" s="2351"/>
      <c r="D472" s="2475">
        <f>'DCA Underwriting Assumptions'!$R$75</f>
        <v>0.02</v>
      </c>
      <c r="E472" s="2476">
        <f>D472*(G463+G469)</f>
        <v>31228.080000000002</v>
      </c>
      <c r="F472" s="2475" t="e">
        <f>IF(($G$27+$G$33)=0,0,G472/($G$27+$G$33))</f>
        <v>#VALUE!</v>
      </c>
      <c r="G472" s="2366">
        <f>'Part IV-A-Uses of Funds'!G36</f>
        <v>31228</v>
      </c>
      <c r="H472" s="2366">
        <f>'Part IV-A-Uses of Funds'!H36</f>
        <v>0</v>
      </c>
      <c r="I472" s="2358"/>
      <c r="J472" s="2366">
        <f>'Part IV-A-Uses of Funds'!J36</f>
        <v>0</v>
      </c>
      <c r="K472" s="2366">
        <f>'Part IV-A-Uses of Funds'!K36</f>
        <v>0</v>
      </c>
      <c r="L472" s="2381"/>
      <c r="M472" s="2366">
        <f>'Part IV-A-Uses of Funds'!M36</f>
        <v>0</v>
      </c>
      <c r="N472" s="2366">
        <f>'Part IV-A-Uses of Funds'!N36</f>
        <v>0</v>
      </c>
      <c r="O472" s="2351"/>
      <c r="P472" s="2366">
        <f>'Part IV-A-Uses of Funds'!P36</f>
        <v>31228</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2754</v>
      </c>
      <c r="C473" s="2351"/>
      <c r="D473" s="2475">
        <f>'DCA Underwriting Assumptions'!$R$76</f>
        <v>0.06</v>
      </c>
      <c r="E473" s="2476">
        <f>D473*(G463+G469)</f>
        <v>93684.239999999991</v>
      </c>
      <c r="F473" s="2475" t="e">
        <f>IF(($G$27+$G$33)=0,0,G473/($G$27+$G$33))</f>
        <v>#VALUE!</v>
      </c>
      <c r="G473" s="2366">
        <f>'Part IV-A-Uses of Funds'!G37</f>
        <v>93684</v>
      </c>
      <c r="H473" s="2366">
        <f>'Part IV-A-Uses of Funds'!H37</f>
        <v>0</v>
      </c>
      <c r="I473" s="2358"/>
      <c r="J473" s="2366">
        <f>'Part IV-A-Uses of Funds'!J37</f>
        <v>0</v>
      </c>
      <c r="K473" s="2366">
        <f>'Part IV-A-Uses of Funds'!K37</f>
        <v>0</v>
      </c>
      <c r="L473" s="2381"/>
      <c r="M473" s="2366">
        <f>'Part IV-A-Uses of Funds'!M37</f>
        <v>0</v>
      </c>
      <c r="N473" s="2366">
        <f>'Part IV-A-Uses of Funds'!N37</f>
        <v>0</v>
      </c>
      <c r="O473" s="2351"/>
      <c r="P473" s="2366">
        <f>'Part IV-A-Uses of Funds'!P37</f>
        <v>93684</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3761</v>
      </c>
      <c r="C474" s="2351"/>
      <c r="D474" s="2473">
        <f>SUM(D471:D473)</f>
        <v>0.14000000000000001</v>
      </c>
      <c r="E474" s="2477">
        <f>SUM(E471:E473)</f>
        <v>218596.56</v>
      </c>
      <c r="F474" s="2468" t="s">
        <v>193</v>
      </c>
      <c r="G474" s="2366">
        <f>SUM(G471:H473)</f>
        <v>218596</v>
      </c>
      <c r="H474" s="2366"/>
      <c r="I474" s="2351"/>
      <c r="J474" s="2366">
        <f>SUM(J471:K473)</f>
        <v>0</v>
      </c>
      <c r="K474" s="2366"/>
      <c r="L474" s="2381"/>
      <c r="M474" s="2366">
        <f>SUM(M471:N473)</f>
        <v>0</v>
      </c>
      <c r="N474" s="2366"/>
      <c r="O474" s="2351"/>
      <c r="P474" s="2366">
        <f>SUM(P471:Q473)</f>
        <v>218596</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4745</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748</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4746</v>
      </c>
      <c r="C479" s="2480"/>
      <c r="D479" s="2351"/>
      <c r="E479" s="2350" t="s">
        <v>2761</v>
      </c>
      <c r="F479" s="2481">
        <f>B480/'Part VI-Revenues &amp; Expenses'!$O$60</f>
        <v>37083.333333333336</v>
      </c>
      <c r="G479" s="2482" t="s">
        <v>4747</v>
      </c>
      <c r="H479" s="2351"/>
      <c r="I479" s="2351"/>
      <c r="J479" s="2483">
        <f>B480/'Part VI-Revenues &amp; Expenses'!$O$62</f>
        <v>37083.333333333336</v>
      </c>
      <c r="K479" s="2483"/>
      <c r="L479" s="2351"/>
      <c r="M479" s="2484" t="s">
        <v>1413</v>
      </c>
      <c r="N479" s="2484"/>
      <c r="O479" s="2351"/>
      <c r="P479" s="2483">
        <f>B480/'Part I-Project Information'!$P$71</f>
        <v>44.295135000622125</v>
      </c>
      <c r="Q479" s="2483"/>
      <c r="R479" s="2351"/>
      <c r="S479" s="2390" t="s">
        <v>2795</v>
      </c>
      <c r="T479" s="2390"/>
      <c r="U479" s="2351"/>
      <c r="V479" s="2465"/>
      <c r="W479" s="1329">
        <f>'Part IV-A-Uses of Funds'!W43</f>
        <v>0</v>
      </c>
      <c r="X479" s="1329">
        <f>'Part IV-A-Uses of Funds'!X43</f>
        <v>0</v>
      </c>
    </row>
    <row r="480" spans="1:24">
      <c r="A480" s="2351"/>
      <c r="B480" s="2485">
        <f>G463+G469+G474+G477</f>
        <v>1780000</v>
      </c>
      <c r="C480" s="2485"/>
      <c r="D480" s="2351"/>
      <c r="E480" s="2350"/>
      <c r="F480" s="2481">
        <f>B480/'Part VI-Revenues &amp; Expenses'!$O$117</f>
        <v>45.309914725722287</v>
      </c>
      <c r="G480" s="2390" t="s">
        <v>4748</v>
      </c>
      <c r="H480" s="2351"/>
      <c r="I480" s="2351"/>
      <c r="J480" s="2483">
        <f>B480/'Part VI-Revenues &amp; Expenses'!$O$119</f>
        <v>45.309914725722287</v>
      </c>
      <c r="K480" s="2483"/>
      <c r="L480" s="2351"/>
      <c r="M480" s="2390" t="s">
        <v>2794</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1135</v>
      </c>
      <c r="C482" s="2351"/>
      <c r="D482" s="2351"/>
      <c r="E482" s="2351"/>
      <c r="F482" s="2486" t="s">
        <v>4244</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1976</v>
      </c>
      <c r="C483" s="2358"/>
      <c r="D483" s="2487" t="s">
        <v>4243</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178000</v>
      </c>
      <c r="F483" s="2489">
        <f>G483/B480</f>
        <v>9.0589887640449437E-2</v>
      </c>
      <c r="G483" s="2366">
        <f>'Part IV-A-Uses of Funds'!G47</f>
        <v>161250</v>
      </c>
      <c r="H483" s="2366">
        <f>'Part IV-A-Uses of Funds'!H47</f>
        <v>0</v>
      </c>
      <c r="I483" s="2351"/>
      <c r="J483" s="2366">
        <f>'Part IV-A-Uses of Funds'!J47</f>
        <v>0</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161250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621</v>
      </c>
      <c r="B485" s="2462" t="s">
        <v>4749</v>
      </c>
      <c r="C485" s="2351"/>
      <c r="D485" s="2351"/>
      <c r="E485" s="2351"/>
      <c r="F485" s="2351"/>
      <c r="G485" s="2351"/>
      <c r="H485" s="2351"/>
      <c r="I485" s="2351"/>
      <c r="J485" s="2350" t="s">
        <v>273</v>
      </c>
      <c r="K485" s="2350"/>
      <c r="L485" s="2366"/>
      <c r="M485" s="2463" t="s">
        <v>493</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2699</v>
      </c>
      <c r="X486" s="2401"/>
    </row>
    <row r="487" spans="1:24">
      <c r="A487" s="2351"/>
      <c r="B487" s="2348" t="s">
        <v>729</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3762</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3763</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2361</v>
      </c>
      <c r="C490" s="2351"/>
      <c r="D490" s="2351"/>
      <c r="E490" s="2351"/>
      <c r="F490" s="2351"/>
      <c r="G490" s="2366">
        <f>'Part IV-A-Uses of Funds'!G54</f>
        <v>0</v>
      </c>
      <c r="H490" s="2366">
        <f>'Part IV-A-Uses of Funds'!H54</f>
        <v>0</v>
      </c>
      <c r="I490" s="2351"/>
      <c r="J490" s="2366">
        <f>'Part IV-A-Uses of Funds'!J54</f>
        <v>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2362</v>
      </c>
      <c r="C491" s="2351"/>
      <c r="D491" s="2351"/>
      <c r="E491" s="2351"/>
      <c r="F491" s="2351"/>
      <c r="G491" s="2366">
        <f>'Part IV-A-Uses of Funds'!G55</f>
        <v>0</v>
      </c>
      <c r="H491" s="2366">
        <f>'Part IV-A-Uses of Funds'!H55</f>
        <v>0</v>
      </c>
      <c r="I491" s="2351"/>
      <c r="J491" s="2366">
        <f>'Part IV-A-Uses of Funds'!J55</f>
        <v>0</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0</v>
      </c>
      <c r="T491" s="2366">
        <f>'Part IV-A-Uses of Funds'!T55</f>
        <v>0</v>
      </c>
      <c r="U491" s="2351"/>
      <c r="V491" s="2465"/>
      <c r="W491" s="1329"/>
      <c r="X491" s="1329"/>
    </row>
    <row r="492" spans="1:24">
      <c r="A492" s="2351"/>
      <c r="B492" s="2351" t="s">
        <v>2363</v>
      </c>
      <c r="C492" s="2351"/>
      <c r="D492" s="2351"/>
      <c r="E492" s="2351"/>
      <c r="F492" s="2351"/>
      <c r="G492" s="2366">
        <f>'Part IV-A-Uses of Funds'!G56</f>
        <v>8000</v>
      </c>
      <c r="H492" s="2366">
        <f>'Part IV-A-Uses of Funds'!H56</f>
        <v>0</v>
      </c>
      <c r="I492" s="2351"/>
      <c r="J492" s="2366">
        <f>'Part IV-A-Uses of Funds'!J56</f>
        <v>0</v>
      </c>
      <c r="K492" s="2366">
        <f>'Part IV-A-Uses of Funds'!K56</f>
        <v>0</v>
      </c>
      <c r="L492" s="2381"/>
      <c r="M492" s="2366">
        <f>'Part IV-A-Uses of Funds'!M56</f>
        <v>0</v>
      </c>
      <c r="N492" s="2366">
        <f>'Part IV-A-Uses of Funds'!N56</f>
        <v>0</v>
      </c>
      <c r="O492" s="2351"/>
      <c r="P492" s="2366">
        <f>'Part IV-A-Uses of Funds'!P56</f>
        <v>8000</v>
      </c>
      <c r="Q492" s="2366">
        <f>'Part IV-A-Uses of Funds'!Q56</f>
        <v>0</v>
      </c>
      <c r="R492" s="2351"/>
      <c r="S492" s="2366">
        <f>'Part IV-A-Uses of Funds'!S56</f>
        <v>0</v>
      </c>
      <c r="T492" s="2366">
        <f>'Part IV-A-Uses of Funds'!T56</f>
        <v>0</v>
      </c>
      <c r="U492" s="2351"/>
      <c r="V492" s="2465"/>
      <c r="W492" s="1329"/>
      <c r="X492" s="1329"/>
    </row>
    <row r="493" spans="1:24">
      <c r="A493" s="2351"/>
      <c r="B493" s="2351" t="s">
        <v>2703</v>
      </c>
      <c r="C493" s="2351"/>
      <c r="D493" s="2351"/>
      <c r="E493" s="2351"/>
      <c r="F493" s="2351"/>
      <c r="G493" s="2366">
        <f>'Part IV-A-Uses of Funds'!G57</f>
        <v>16000</v>
      </c>
      <c r="H493" s="2366">
        <f>'Part IV-A-Uses of Funds'!H57</f>
        <v>0</v>
      </c>
      <c r="I493" s="2351"/>
      <c r="J493" s="2366">
        <f>'Part IV-A-Uses of Funds'!J57</f>
        <v>0</v>
      </c>
      <c r="K493" s="2366">
        <f>'Part IV-A-Uses of Funds'!K57</f>
        <v>0</v>
      </c>
      <c r="L493" s="2381"/>
      <c r="M493" s="2366">
        <f>'Part IV-A-Uses of Funds'!M57</f>
        <v>0</v>
      </c>
      <c r="N493" s="2366">
        <f>'Part IV-A-Uses of Funds'!N57</f>
        <v>0</v>
      </c>
      <c r="O493" s="2351"/>
      <c r="P493" s="2366">
        <f>'Part IV-A-Uses of Funds'!P57</f>
        <v>16000</v>
      </c>
      <c r="Q493" s="2366">
        <f>'Part IV-A-Uses of Funds'!Q57</f>
        <v>0</v>
      </c>
      <c r="R493" s="2351"/>
      <c r="S493" s="2366">
        <f>'Part IV-A-Uses of Funds'!S57</f>
        <v>0</v>
      </c>
      <c r="T493" s="2366">
        <f>'Part IV-A-Uses of Funds'!T57</f>
        <v>0</v>
      </c>
      <c r="U493" s="2351"/>
      <c r="V493" s="2465"/>
      <c r="W493" s="1329"/>
      <c r="X493" s="1329"/>
    </row>
    <row r="494" spans="1:24">
      <c r="A494" s="2351"/>
      <c r="B494" s="2351" t="s">
        <v>730</v>
      </c>
      <c r="C494" s="2351"/>
      <c r="D494" s="2351"/>
      <c r="E494" s="2351"/>
      <c r="F494" s="2351"/>
      <c r="G494" s="2366">
        <f>'Part IV-A-Uses of Funds'!G58</f>
        <v>6000</v>
      </c>
      <c r="H494" s="2366">
        <f>'Part IV-A-Uses of Funds'!H58</f>
        <v>0</v>
      </c>
      <c r="I494" s="2351"/>
      <c r="J494" s="2366">
        <f>'Part IV-A-Uses of Funds'!J58</f>
        <v>0</v>
      </c>
      <c r="K494" s="2366">
        <f>'Part IV-A-Uses of Funds'!K58</f>
        <v>0</v>
      </c>
      <c r="L494" s="2381"/>
      <c r="M494" s="2366">
        <f>'Part IV-A-Uses of Funds'!M58</f>
        <v>0</v>
      </c>
      <c r="N494" s="2366">
        <f>'Part IV-A-Uses of Funds'!N58</f>
        <v>0</v>
      </c>
      <c r="O494" s="2351"/>
      <c r="P494" s="2366">
        <f>'Part IV-A-Uses of Funds'!P58</f>
        <v>6000</v>
      </c>
      <c r="Q494" s="2366">
        <f>'Part IV-A-Uses of Funds'!Q58</f>
        <v>0</v>
      </c>
      <c r="R494" s="2351"/>
      <c r="S494" s="2366">
        <f>'Part IV-A-Uses of Funds'!S58</f>
        <v>0</v>
      </c>
      <c r="T494" s="2366">
        <f>'Part IV-A-Uses of Funds'!T58</f>
        <v>0</v>
      </c>
      <c r="U494" s="2351"/>
      <c r="V494" s="2465"/>
      <c r="W494" s="1329"/>
      <c r="X494" s="1329"/>
    </row>
    <row r="495" spans="1:24">
      <c r="A495" s="2351"/>
      <c r="B495" s="2351" t="s">
        <v>2364</v>
      </c>
      <c r="C495" s="2351"/>
      <c r="D495" s="2351"/>
      <c r="E495" s="2351"/>
      <c r="F495" s="2351"/>
      <c r="G495" s="2366">
        <f>'Part IV-A-Uses of Funds'!G59</f>
        <v>5000</v>
      </c>
      <c r="H495" s="2366">
        <f>'Part IV-A-Uses of Funds'!H59</f>
        <v>0</v>
      </c>
      <c r="I495" s="2351"/>
      <c r="J495" s="2366">
        <f>'Part IV-A-Uses of Funds'!J59</f>
        <v>0</v>
      </c>
      <c r="K495" s="2366">
        <f>'Part IV-A-Uses of Funds'!K59</f>
        <v>0</v>
      </c>
      <c r="L495" s="2381"/>
      <c r="M495" s="2366">
        <f>'Part IV-A-Uses of Funds'!M59</f>
        <v>0</v>
      </c>
      <c r="N495" s="2366">
        <f>'Part IV-A-Uses of Funds'!N59</f>
        <v>0</v>
      </c>
      <c r="O495" s="2351"/>
      <c r="P495" s="2366">
        <f>'Part IV-A-Uses of Funds'!P59</f>
        <v>5000</v>
      </c>
      <c r="Q495" s="2366">
        <f>'Part IV-A-Uses of Funds'!Q59</f>
        <v>0</v>
      </c>
      <c r="R495" s="2351"/>
      <c r="S495" s="2366">
        <f>'Part IV-A-Uses of Funds'!S59</f>
        <v>0</v>
      </c>
      <c r="T495" s="2366">
        <f>'Part IV-A-Uses of Funds'!T59</f>
        <v>0</v>
      </c>
      <c r="U495" s="2351"/>
      <c r="V495" s="2465"/>
      <c r="W495" s="1329"/>
      <c r="X495" s="1329"/>
    </row>
    <row r="496" spans="1:24">
      <c r="A496" s="2351"/>
      <c r="B496" s="2351" t="s">
        <v>1287</v>
      </c>
      <c r="C496" s="2351"/>
      <c r="D496" s="2351"/>
      <c r="E496" s="2351"/>
      <c r="F496" s="2351"/>
      <c r="G496" s="2366">
        <f>'Part IV-A-Uses of Funds'!G60</f>
        <v>10000</v>
      </c>
      <c r="H496" s="2366">
        <f>'Part IV-A-Uses of Funds'!H60</f>
        <v>0</v>
      </c>
      <c r="I496" s="2351"/>
      <c r="J496" s="2366">
        <f>'Part IV-A-Uses of Funds'!J60</f>
        <v>0</v>
      </c>
      <c r="K496" s="2366">
        <f>'Part IV-A-Uses of Funds'!K60</f>
        <v>0</v>
      </c>
      <c r="L496" s="2381"/>
      <c r="M496" s="2366">
        <f>'Part IV-A-Uses of Funds'!M60</f>
        <v>0</v>
      </c>
      <c r="N496" s="2366">
        <f>'Part IV-A-Uses of Funds'!N60</f>
        <v>0</v>
      </c>
      <c r="O496" s="2351"/>
      <c r="P496" s="2366">
        <f>'Part IV-A-Uses of Funds'!P60</f>
        <v>10000</v>
      </c>
      <c r="Q496" s="2366">
        <f>'Part IV-A-Uses of Funds'!Q60</f>
        <v>0</v>
      </c>
      <c r="R496" s="2351"/>
      <c r="S496" s="2366">
        <f>'Part IV-A-Uses of Funds'!S60</f>
        <v>0</v>
      </c>
      <c r="T496" s="2366">
        <f>'Part IV-A-Uses of Funds'!T60</f>
        <v>0</v>
      </c>
      <c r="U496" s="2351"/>
      <c r="V496" s="2465"/>
      <c r="W496" s="1329"/>
      <c r="X496" s="1329"/>
    </row>
    <row r="497" spans="1:24">
      <c r="A497" s="2351"/>
      <c r="B497" s="2490" t="s">
        <v>1162</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748</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748</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45000</v>
      </c>
      <c r="H500" s="2366"/>
      <c r="I500" s="2351"/>
      <c r="J500" s="2366">
        <f>SUM(J488:K499)</f>
        <v>0</v>
      </c>
      <c r="K500" s="2366"/>
      <c r="L500" s="2381"/>
      <c r="M500" s="2366">
        <f>SUM(M488:N499)</f>
        <v>0</v>
      </c>
      <c r="N500" s="2366"/>
      <c r="O500" s="2351"/>
      <c r="P500" s="2366">
        <f>SUM(P488:Q499)</f>
        <v>45000</v>
      </c>
      <c r="Q500" s="2366"/>
      <c r="R500" s="2351"/>
      <c r="S500" s="2366">
        <f>SUM(S488:T499)</f>
        <v>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80640</v>
      </c>
      <c r="H502" s="2366">
        <f>'Part IV-A-Uses of Funds'!H66</f>
        <v>0</v>
      </c>
      <c r="I502" s="2351"/>
      <c r="J502" s="2366">
        <f>'Part IV-A-Uses of Funds'!J66</f>
        <v>0</v>
      </c>
      <c r="K502" s="2366">
        <f>'Part IV-A-Uses of Funds'!K66</f>
        <v>0</v>
      </c>
      <c r="L502" s="2381"/>
      <c r="M502" s="2366">
        <f>'Part IV-A-Uses of Funds'!M66</f>
        <v>0</v>
      </c>
      <c r="N502" s="2366">
        <f>'Part IV-A-Uses of Funds'!N66</f>
        <v>0</v>
      </c>
      <c r="O502" s="2351"/>
      <c r="P502" s="2366">
        <f>'Part IV-A-Uses of Funds'!P66</f>
        <v>80640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20160</v>
      </c>
      <c r="H503" s="2366">
        <f>'Part IV-A-Uses of Funds'!H67</f>
        <v>0</v>
      </c>
      <c r="I503" s="2351"/>
      <c r="J503" s="2366">
        <f>'Part IV-A-Uses of Funds'!J67</f>
        <v>0</v>
      </c>
      <c r="K503" s="2366">
        <f>'Part IV-A-Uses of Funds'!K67</f>
        <v>0</v>
      </c>
      <c r="L503" s="2381"/>
      <c r="M503" s="2366">
        <f>'Part IV-A-Uses of Funds'!M67</f>
        <v>0</v>
      </c>
      <c r="N503" s="2366">
        <f>'Part IV-A-Uses of Funds'!N67</f>
        <v>0</v>
      </c>
      <c r="O503" s="2351"/>
      <c r="P503" s="2366">
        <f>'Part IV-A-Uses of Funds'!P67</f>
        <v>20160</v>
      </c>
      <c r="Q503" s="2366">
        <f>'Part IV-A-Uses of Funds'!Q67</f>
        <v>0</v>
      </c>
      <c r="R503" s="2351"/>
      <c r="S503" s="2366">
        <f>'Part IV-A-Uses of Funds'!S67</f>
        <v>0</v>
      </c>
      <c r="T503" s="2366">
        <f>'Part IV-A-Uses of Funds'!T67</f>
        <v>0</v>
      </c>
      <c r="U503" s="2351"/>
      <c r="V503" s="2465"/>
      <c r="W503" s="1329"/>
      <c r="X503" s="1329"/>
    </row>
    <row r="504" spans="1:24">
      <c r="A504" s="2351"/>
      <c r="B504" s="2351" t="s">
        <v>1136</v>
      </c>
      <c r="C504" s="2351"/>
      <c r="D504" s="2362" t="s">
        <v>3880</v>
      </c>
      <c r="E504" s="2492">
        <f>'DCA Underwriting Assumptions'!R513</f>
        <v>0</v>
      </c>
      <c r="F504" s="2348" t="str">
        <f>IF(G504&gt;E504,"CHECK!!!","")</f>
        <v/>
      </c>
      <c r="G504" s="2366">
        <f>'Part IV-A-Uses of Funds'!G68</f>
        <v>0</v>
      </c>
      <c r="H504" s="2366">
        <f>'Part IV-A-Uses of Funds'!H68</f>
        <v>0</v>
      </c>
      <c r="I504" s="2351"/>
      <c r="J504" s="2366">
        <f>'Part IV-A-Uses of Funds'!J68</f>
        <v>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1137</v>
      </c>
      <c r="C505" s="2351"/>
      <c r="D505" s="2351"/>
      <c r="E505" s="2351"/>
      <c r="F505" s="2351"/>
      <c r="G505" s="2366">
        <f>'Part IV-A-Uses of Funds'!G69</f>
        <v>0</v>
      </c>
      <c r="H505" s="2366">
        <f>'Part IV-A-Uses of Funds'!H69</f>
        <v>0</v>
      </c>
      <c r="I505" s="2351"/>
      <c r="J505" s="2366">
        <f>'Part IV-A-Uses of Funds'!J69</f>
        <v>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1138</v>
      </c>
      <c r="C506" s="2351"/>
      <c r="D506" s="2351"/>
      <c r="E506" s="2351"/>
      <c r="F506" s="2351"/>
      <c r="G506" s="2366">
        <f>'Part IV-A-Uses of Funds'!G70</f>
        <v>7000</v>
      </c>
      <c r="H506" s="2366">
        <f>'Part IV-A-Uses of Funds'!H70</f>
        <v>0</v>
      </c>
      <c r="I506" s="2351"/>
      <c r="J506" s="2366">
        <f>'Part IV-A-Uses of Funds'!J70</f>
        <v>0</v>
      </c>
      <c r="K506" s="2366">
        <f>'Part IV-A-Uses of Funds'!K70</f>
        <v>0</v>
      </c>
      <c r="L506" s="2381"/>
      <c r="M506" s="2366">
        <f>'Part IV-A-Uses of Funds'!M70</f>
        <v>0</v>
      </c>
      <c r="N506" s="2366">
        <f>'Part IV-A-Uses of Funds'!N70</f>
        <v>0</v>
      </c>
      <c r="O506" s="2351"/>
      <c r="P506" s="2366">
        <f>'Part IV-A-Uses of Funds'!P70</f>
        <v>7000</v>
      </c>
      <c r="Q506" s="2366">
        <f>'Part IV-A-Uses of Funds'!Q70</f>
        <v>0</v>
      </c>
      <c r="R506" s="2351"/>
      <c r="S506" s="2366">
        <f>'Part IV-A-Uses of Funds'!S70</f>
        <v>0</v>
      </c>
      <c r="T506" s="2366">
        <f>'Part IV-A-Uses of Funds'!T70</f>
        <v>0</v>
      </c>
      <c r="U506" s="2351"/>
      <c r="V506" s="2465"/>
      <c r="W506" s="1329"/>
      <c r="X506" s="1329"/>
    </row>
    <row r="507" spans="1:24">
      <c r="A507" s="2351"/>
      <c r="B507" s="2351" t="s">
        <v>1139</v>
      </c>
      <c r="C507" s="2351"/>
      <c r="D507" s="2351"/>
      <c r="E507" s="2351"/>
      <c r="F507" s="2351"/>
      <c r="G507" s="2366">
        <f>'Part IV-A-Uses of Funds'!G71</f>
        <v>0</v>
      </c>
      <c r="H507" s="2366">
        <f>'Part IV-A-Uses of Funds'!H71</f>
        <v>0</v>
      </c>
      <c r="I507" s="2351"/>
      <c r="J507" s="2366">
        <f>'Part IV-A-Uses of Funds'!J71</f>
        <v>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1000</v>
      </c>
      <c r="H508" s="2366">
        <f>'Part IV-A-Uses of Funds'!H72</f>
        <v>0</v>
      </c>
      <c r="I508" s="2351"/>
      <c r="J508" s="2366">
        <f>'Part IV-A-Uses of Funds'!J72</f>
        <v>0</v>
      </c>
      <c r="K508" s="2366">
        <f>'Part IV-A-Uses of Funds'!K72</f>
        <v>0</v>
      </c>
      <c r="L508" s="2381"/>
      <c r="M508" s="2366">
        <f>'Part IV-A-Uses of Funds'!M72</f>
        <v>0</v>
      </c>
      <c r="N508" s="2366">
        <f>'Part IV-A-Uses of Funds'!N72</f>
        <v>0</v>
      </c>
      <c r="O508" s="2351"/>
      <c r="P508" s="2366">
        <f>'Part IV-A-Uses of Funds'!P72</f>
        <v>1000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90000</v>
      </c>
      <c r="H509" s="2366">
        <f>'Part IV-A-Uses of Funds'!H73</f>
        <v>0</v>
      </c>
      <c r="I509" s="2351"/>
      <c r="J509" s="2366">
        <f>'Part IV-A-Uses of Funds'!J73</f>
        <v>0</v>
      </c>
      <c r="K509" s="2366">
        <f>'Part IV-A-Uses of Funds'!K73</f>
        <v>0</v>
      </c>
      <c r="L509" s="2381"/>
      <c r="M509" s="2366">
        <f>'Part IV-A-Uses of Funds'!M73</f>
        <v>0</v>
      </c>
      <c r="N509" s="2366">
        <f>'Part IV-A-Uses of Funds'!N73</f>
        <v>0</v>
      </c>
      <c r="O509" s="2351"/>
      <c r="P509" s="2366">
        <f>'Part IV-A-Uses of Funds'!P73</f>
        <v>50000</v>
      </c>
      <c r="Q509" s="2366">
        <f>'Part IV-A-Uses of Funds'!Q73</f>
        <v>0</v>
      </c>
      <c r="R509" s="2351"/>
      <c r="S509" s="2366">
        <f>'Part IV-A-Uses of Funds'!S73</f>
        <v>40000</v>
      </c>
      <c r="T509" s="2366">
        <f>'Part IV-A-Uses of Funds'!T73</f>
        <v>0</v>
      </c>
      <c r="U509" s="2351"/>
      <c r="V509" s="2465"/>
      <c r="W509" s="1329"/>
      <c r="X509" s="1329"/>
    </row>
    <row r="510" spans="1:24">
      <c r="A510" s="2351"/>
      <c r="B510" s="2351" t="s">
        <v>2064</v>
      </c>
      <c r="C510" s="2351"/>
      <c r="D510" s="2351"/>
      <c r="E510" s="2351"/>
      <c r="F510" s="2351"/>
      <c r="G510" s="2366">
        <f>'Part IV-A-Uses of Funds'!G74</f>
        <v>12000</v>
      </c>
      <c r="H510" s="2366">
        <f>'Part IV-A-Uses of Funds'!H74</f>
        <v>0</v>
      </c>
      <c r="I510" s="2351"/>
      <c r="J510" s="2366">
        <f>'Part IV-A-Uses of Funds'!J74</f>
        <v>0</v>
      </c>
      <c r="K510" s="2366">
        <f>'Part IV-A-Uses of Funds'!K74</f>
        <v>0</v>
      </c>
      <c r="L510" s="2381"/>
      <c r="M510" s="2366">
        <f>'Part IV-A-Uses of Funds'!M74</f>
        <v>0</v>
      </c>
      <c r="N510" s="2366">
        <f>'Part IV-A-Uses of Funds'!N74</f>
        <v>0</v>
      </c>
      <c r="O510" s="2351"/>
      <c r="P510" s="2366">
        <f>'Part IV-A-Uses of Funds'!P74</f>
        <v>12000</v>
      </c>
      <c r="Q510" s="2366">
        <f>'Part IV-A-Uses of Funds'!Q74</f>
        <v>0</v>
      </c>
      <c r="R510" s="2351"/>
      <c r="S510" s="2366">
        <f>'Part IV-A-Uses of Funds'!S74</f>
        <v>0</v>
      </c>
      <c r="T510" s="2366">
        <f>'Part IV-A-Uses of Funds'!T74</f>
        <v>0</v>
      </c>
      <c r="U510" s="2351"/>
      <c r="V510" s="2465"/>
      <c r="W510" s="1329"/>
      <c r="X510" s="1329"/>
    </row>
    <row r="511" spans="1:24">
      <c r="A511" s="2351"/>
      <c r="B511" s="2351" t="s">
        <v>1288</v>
      </c>
      <c r="C511" s="2351"/>
      <c r="D511" s="2351"/>
      <c r="E511" s="2351"/>
      <c r="F511" s="2351"/>
      <c r="G511" s="2366">
        <f>'Part IV-A-Uses of Funds'!G75</f>
        <v>12000</v>
      </c>
      <c r="H511" s="2366">
        <f>'Part IV-A-Uses of Funds'!H75</f>
        <v>0</v>
      </c>
      <c r="I511" s="2351"/>
      <c r="J511" s="2366">
        <f>'Part IV-A-Uses of Funds'!J75</f>
        <v>0</v>
      </c>
      <c r="K511" s="2366">
        <f>'Part IV-A-Uses of Funds'!K75</f>
        <v>0</v>
      </c>
      <c r="L511" s="2381"/>
      <c r="M511" s="2366">
        <f>'Part IV-A-Uses of Funds'!M75</f>
        <v>0</v>
      </c>
      <c r="N511" s="2366">
        <f>'Part IV-A-Uses of Funds'!N75</f>
        <v>0</v>
      </c>
      <c r="O511" s="2351"/>
      <c r="P511" s="2366">
        <f>'Part IV-A-Uses of Funds'!P75</f>
        <v>12000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748</v>
      </c>
      <c r="C512" s="2369" t="str">
        <f>'Part IV-A-Uses of Funds'!C76</f>
        <v>Raymond James Fee</v>
      </c>
      <c r="D512" s="2369">
        <f>'Part IV-A-Uses of Funds'!D76</f>
        <v>0</v>
      </c>
      <c r="E512" s="2369">
        <f>'Part IV-A-Uses of Funds'!E76</f>
        <v>0</v>
      </c>
      <c r="F512" s="2369">
        <f>'Part IV-A-Uses of Funds'!F76</f>
        <v>0</v>
      </c>
      <c r="G512" s="2366">
        <f>'Part IV-A-Uses of Funds'!G76</f>
        <v>50000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50000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272800</v>
      </c>
      <c r="H513" s="2366"/>
      <c r="I513" s="2351"/>
      <c r="J513" s="2366">
        <f>SUM(J502:K512)</f>
        <v>0</v>
      </c>
      <c r="K513" s="2366"/>
      <c r="L513" s="2381"/>
      <c r="M513" s="2366">
        <f>SUM(M502:N512)</f>
        <v>0</v>
      </c>
      <c r="N513" s="2366"/>
      <c r="O513" s="2351"/>
      <c r="P513" s="2366">
        <f>SUM(P502:Q512)</f>
        <v>232800</v>
      </c>
      <c r="Q513" s="2366"/>
      <c r="R513" s="2351"/>
      <c r="S513" s="2366">
        <f>SUM(S502:T512)</f>
        <v>40000</v>
      </c>
      <c r="T513" s="2366"/>
      <c r="U513" s="2351"/>
      <c r="V513" s="2465">
        <f>SUM(V502:V512)</f>
        <v>0</v>
      </c>
      <c r="W513" s="1329"/>
      <c r="X513" s="1329"/>
    </row>
    <row r="514" spans="1:24">
      <c r="A514" s="2351"/>
      <c r="B514" s="2348" t="s">
        <v>1280</v>
      </c>
      <c r="C514" s="2351"/>
      <c r="D514" s="2493" t="s">
        <v>3764</v>
      </c>
      <c r="E514" s="2494">
        <f>G519/'Part VI-Revenues &amp; Expenses'!$O$62</f>
        <v>166.66666666666666</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1281</v>
      </c>
      <c r="C515" s="2351"/>
      <c r="D515" s="2351"/>
      <c r="E515" s="2351"/>
      <c r="F515" s="2351"/>
      <c r="G515" s="2366">
        <f>'Part IV-A-Uses of Funds'!G79</f>
        <v>8000</v>
      </c>
      <c r="H515" s="2366">
        <f>'Part IV-A-Uses of Funds'!H79</f>
        <v>0</v>
      </c>
      <c r="I515" s="2351"/>
      <c r="J515" s="2366">
        <f>'Part IV-A-Uses of Funds'!J79</f>
        <v>0</v>
      </c>
      <c r="K515" s="2366">
        <f>'Part IV-A-Uses of Funds'!K79</f>
        <v>0</v>
      </c>
      <c r="L515" s="2381"/>
      <c r="M515" s="2366">
        <f>'Part IV-A-Uses of Funds'!M79</f>
        <v>0</v>
      </c>
      <c r="N515" s="2366">
        <f>'Part IV-A-Uses of Funds'!N79</f>
        <v>0</v>
      </c>
      <c r="O515" s="2351"/>
      <c r="P515" s="2366">
        <f>'Part IV-A-Uses of Funds'!P79</f>
        <v>8000</v>
      </c>
      <c r="Q515" s="2366">
        <f>'Part IV-A-Uses of Funds'!Q79</f>
        <v>0</v>
      </c>
      <c r="R515" s="2351"/>
      <c r="S515" s="2366">
        <f>'Part IV-A-Uses of Funds'!S79</f>
        <v>0</v>
      </c>
      <c r="T515" s="2366">
        <f>'Part IV-A-Uses of Funds'!T79</f>
        <v>0</v>
      </c>
      <c r="U515" s="2351"/>
      <c r="V515" s="2465"/>
      <c r="W515" s="1329"/>
      <c r="X515" s="1329"/>
    </row>
    <row r="516" spans="1:24">
      <c r="A516" s="2351"/>
      <c r="B516" s="2351" t="s">
        <v>1282</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1283</v>
      </c>
      <c r="C517" s="2351"/>
      <c r="D517" s="2495" t="s">
        <v>1414</v>
      </c>
      <c r="E517" s="2496">
        <f>'Part IV-A-Uses of Funds'!E81</f>
        <v>0</v>
      </c>
      <c r="F517" s="2351"/>
      <c r="G517" s="2366">
        <f>'Part IV-A-Uses of Funds'!G81</f>
        <v>0</v>
      </c>
      <c r="H517" s="2366">
        <f>'Part IV-A-Uses of Funds'!H81</f>
        <v>0</v>
      </c>
      <c r="I517" s="2358"/>
      <c r="J517" s="2366">
        <f>'Part IV-A-Uses of Funds'!J81</f>
        <v>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1284</v>
      </c>
      <c r="C518" s="2351"/>
      <c r="D518" s="2495" t="s">
        <v>1414</v>
      </c>
      <c r="E518" s="2496">
        <f>'Part IV-A-Uses of Funds'!E82</f>
        <v>0</v>
      </c>
      <c r="F518" s="2351"/>
      <c r="G518" s="2366">
        <f>'Part IV-A-Uses of Funds'!G82</f>
        <v>0</v>
      </c>
      <c r="H518" s="2366">
        <f>'Part IV-A-Uses of Funds'!H82</f>
        <v>0</v>
      </c>
      <c r="I518" s="2358"/>
      <c r="J518" s="2366">
        <f>'Part IV-A-Uses of Funds'!J82</f>
        <v>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8000</v>
      </c>
      <c r="H519" s="2366"/>
      <c r="I519" s="2351"/>
      <c r="J519" s="2366">
        <f>SUM(J515:K518)</f>
        <v>0</v>
      </c>
      <c r="K519" s="2366"/>
      <c r="L519" s="2381"/>
      <c r="M519" s="2366">
        <f>SUM(M515:N518)</f>
        <v>0</v>
      </c>
      <c r="N519" s="2366"/>
      <c r="O519" s="2351"/>
      <c r="P519" s="2366">
        <f>SUM(P515:Q518)</f>
        <v>8000</v>
      </c>
      <c r="Q519" s="2366"/>
      <c r="R519" s="2351"/>
      <c r="S519" s="2366">
        <f>SUM(S515:T518)</f>
        <v>0</v>
      </c>
      <c r="T519" s="2366"/>
      <c r="U519" s="2351"/>
      <c r="V519" s="2465">
        <f>SUM(V515:V518)</f>
        <v>0</v>
      </c>
      <c r="W519" s="1329"/>
      <c r="X519" s="1329"/>
    </row>
    <row r="520" spans="1:24">
      <c r="A520" s="2351"/>
      <c r="B520" s="2348" t="s">
        <v>731</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1285</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1286</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1287</v>
      </c>
      <c r="C523" s="2351"/>
      <c r="D523" s="2351"/>
      <c r="E523" s="2351"/>
      <c r="F523" s="2351"/>
      <c r="G523" s="2366">
        <f>'Part IV-A-Uses of Funds'!G87</f>
        <v>20000</v>
      </c>
      <c r="H523" s="2366">
        <f>'Part IV-A-Uses of Funds'!H87</f>
        <v>0</v>
      </c>
      <c r="I523" s="2351"/>
      <c r="J523" s="2366"/>
      <c r="K523" s="2366"/>
      <c r="L523" s="2381"/>
      <c r="M523" s="2366"/>
      <c r="N523" s="2366"/>
      <c r="O523" s="2351"/>
      <c r="P523" s="2366"/>
      <c r="Q523" s="2366"/>
      <c r="R523" s="2351"/>
      <c r="S523" s="2366">
        <f>'Part IV-A-Uses of Funds'!S87</f>
        <v>20000</v>
      </c>
      <c r="T523" s="2366">
        <f>'Part IV-A-Uses of Funds'!T87</f>
        <v>0</v>
      </c>
      <c r="U523" s="2351"/>
      <c r="V523" s="2465"/>
      <c r="W523" s="1329"/>
      <c r="X523" s="1329"/>
    </row>
    <row r="524" spans="1:24">
      <c r="A524" s="2351"/>
      <c r="B524" s="2351" t="s">
        <v>1289</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2313</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748</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20000</v>
      </c>
      <c r="H527" s="2366"/>
      <c r="I527" s="2351"/>
      <c r="J527" s="2366"/>
      <c r="K527" s="2366"/>
      <c r="L527" s="2381"/>
      <c r="M527" s="2366"/>
      <c r="N527" s="2366"/>
      <c r="O527" s="2351"/>
      <c r="P527" s="2366"/>
      <c r="Q527" s="2366"/>
      <c r="R527" s="2351"/>
      <c r="S527" s="2366">
        <f>SUM(S521:T526)</f>
        <v>20000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621</v>
      </c>
      <c r="B529" s="2462" t="s">
        <v>4750</v>
      </c>
      <c r="C529" s="2351"/>
      <c r="D529" s="2351"/>
      <c r="E529" s="2351"/>
      <c r="F529" s="2351"/>
      <c r="G529" s="2351"/>
      <c r="H529" s="2351"/>
      <c r="I529" s="2351"/>
      <c r="J529" s="2350" t="s">
        <v>273</v>
      </c>
      <c r="K529" s="2350"/>
      <c r="L529" s="2366"/>
      <c r="M529" s="2463" t="s">
        <v>493</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2699</v>
      </c>
      <c r="W530" s="2351"/>
      <c r="X530" s="2401"/>
    </row>
    <row r="531" spans="1:24">
      <c r="A531" s="2351"/>
      <c r="B531" s="2348" t="s">
        <v>732</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2000</v>
      </c>
      <c r="H532" s="2366">
        <f>'Part IV-A-Uses of Funds'!H96</f>
        <v>0</v>
      </c>
      <c r="I532" s="2351"/>
      <c r="J532" s="2381"/>
      <c r="K532" s="2381"/>
      <c r="L532" s="2381"/>
      <c r="M532" s="2381"/>
      <c r="N532" s="2381"/>
      <c r="O532" s="2351"/>
      <c r="P532" s="2381"/>
      <c r="Q532" s="2381"/>
      <c r="R532" s="2351"/>
      <c r="S532" s="2366">
        <f>'Part IV-A-Uses of Funds'!S96</f>
        <v>2000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3988</v>
      </c>
      <c r="C534" s="2351"/>
      <c r="D534" s="2351"/>
      <c r="E534" s="2351"/>
      <c r="F534" s="2351"/>
      <c r="G534" s="2366">
        <f>'Part IV-A-Uses of Funds'!G98</f>
        <v>1000</v>
      </c>
      <c r="H534" s="2366">
        <f>'Part IV-A-Uses of Funds'!H98</f>
        <v>0</v>
      </c>
      <c r="I534" s="2351"/>
      <c r="J534" s="2381"/>
      <c r="K534" s="2381"/>
      <c r="L534" s="2497"/>
      <c r="M534" s="2381"/>
      <c r="N534" s="2381"/>
      <c r="O534" s="2351"/>
      <c r="P534" s="2381"/>
      <c r="Q534" s="2381"/>
      <c r="R534" s="2351"/>
      <c r="S534" s="2366">
        <f>'Part IV-A-Uses of Funds'!S98</f>
        <v>1000</v>
      </c>
      <c r="T534" s="2366">
        <f>'Part IV-A-Uses of Funds'!T98</f>
        <v>0</v>
      </c>
      <c r="U534" s="2351"/>
      <c r="V534" s="2465"/>
      <c r="W534" s="1329"/>
      <c r="X534" s="1329"/>
    </row>
    <row r="535" spans="1:24">
      <c r="A535" s="2351"/>
      <c r="B535" s="2351" t="s">
        <v>523</v>
      </c>
      <c r="C535" s="2351"/>
      <c r="D535" s="2351"/>
      <c r="E535" s="2498">
        <f>'DCA Underwriting Assumptions'!$Q$88*J611</f>
        <v>23600</v>
      </c>
      <c r="F535" s="2498"/>
      <c r="G535" s="2366">
        <f>'Part IV-A-Uses of Funds'!G99</f>
        <v>23600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23600</v>
      </c>
      <c r="T535" s="2366">
        <f>'Part IV-A-Uses of Funds'!T99</f>
        <v>0</v>
      </c>
      <c r="U535" s="2351"/>
      <c r="V535" s="2465"/>
      <c r="W535" s="1329"/>
      <c r="X535" s="1329"/>
    </row>
    <row r="536" spans="1:24">
      <c r="A536" s="2351"/>
      <c r="B536" s="2351" t="s">
        <v>760</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536" s="2498"/>
      <c r="G536" s="2366">
        <f>'Part IV-A-Uses of Funds'!G100</f>
        <v>38400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38400</v>
      </c>
      <c r="T536" s="2366">
        <f>'Part IV-A-Uses of Funds'!T100</f>
        <v>0</v>
      </c>
      <c r="U536" s="2351"/>
      <c r="V536" s="2465"/>
      <c r="W536" s="1329"/>
      <c r="X536" s="1329"/>
    </row>
    <row r="537" spans="1:24">
      <c r="A537" s="2351"/>
      <c r="B537" s="2351" t="s">
        <v>4301</v>
      </c>
      <c r="C537" s="2351"/>
      <c r="D537" s="2351"/>
      <c r="E537" s="2351"/>
      <c r="F537" s="2500">
        <f>'DCA Underwriting Assumptions'!$Q$90</f>
        <v>3000</v>
      </c>
      <c r="G537" s="2366">
        <f>'Part IV-A-Uses of Funds'!G101</f>
        <v>0</v>
      </c>
      <c r="H537" s="2366">
        <f>'Part IV-A-Uses of Funds'!H101</f>
        <v>0</v>
      </c>
      <c r="I537" s="2351"/>
      <c r="J537" s="2358"/>
      <c r="K537" s="2358"/>
      <c r="L537" s="2358"/>
      <c r="M537" s="2358"/>
      <c r="N537" s="2358"/>
      <c r="O537" s="2358"/>
      <c r="P537" s="2358"/>
      <c r="Q537" s="2358"/>
      <c r="R537" s="2351"/>
      <c r="S537" s="2366">
        <f>'Part IV-A-Uses of Funds'!S101</f>
        <v>0</v>
      </c>
      <c r="T537" s="2366">
        <f>'Part IV-A-Uses of Funds'!T101</f>
        <v>0</v>
      </c>
      <c r="U537" s="2351"/>
      <c r="V537" s="2465"/>
      <c r="W537" s="1329"/>
      <c r="X537" s="1329"/>
    </row>
    <row r="538" spans="1:24">
      <c r="A538" s="2351"/>
      <c r="B538" s="2351" t="s">
        <v>4302</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748</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748</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74500</v>
      </c>
      <c r="H541" s="2366"/>
      <c r="I541" s="2351"/>
      <c r="J541" s="2381"/>
      <c r="K541" s="2381"/>
      <c r="L541" s="2381"/>
      <c r="M541" s="2381"/>
      <c r="N541" s="2381"/>
      <c r="O541" s="2351"/>
      <c r="P541" s="2381"/>
      <c r="Q541" s="2381"/>
      <c r="R541" s="2351"/>
      <c r="S541" s="2366">
        <f>SUM(S532:T540)</f>
        <v>74500</v>
      </c>
      <c r="T541" s="2366"/>
      <c r="U541" s="2351"/>
      <c r="V541" s="2465">
        <f>SUM(V532:V540)</f>
        <v>0</v>
      </c>
      <c r="W541" s="2501"/>
      <c r="X541" s="2501"/>
    </row>
    <row r="542" spans="1:24">
      <c r="A542" s="2351"/>
      <c r="B542" s="2348" t="s">
        <v>2314</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4000</v>
      </c>
      <c r="H543" s="2366">
        <f>'Part IV-A-Uses of Funds'!H107</f>
        <v>0</v>
      </c>
      <c r="I543" s="2351"/>
      <c r="J543" s="2366"/>
      <c r="K543" s="2366"/>
      <c r="L543" s="2381"/>
      <c r="M543" s="2366"/>
      <c r="N543" s="2366"/>
      <c r="O543" s="2351"/>
      <c r="P543" s="2366"/>
      <c r="Q543" s="2366"/>
      <c r="R543" s="2351"/>
      <c r="S543" s="2366">
        <f>'Part IV-A-Uses of Funds'!S107</f>
        <v>4000</v>
      </c>
      <c r="T543" s="2366">
        <f>'Part IV-A-Uses of Funds'!T107</f>
        <v>0</v>
      </c>
      <c r="U543" s="2351"/>
      <c r="V543" s="2465"/>
      <c r="W543" s="1329"/>
      <c r="X543" s="1329"/>
    </row>
    <row r="544" spans="1:24">
      <c r="A544" s="2351"/>
      <c r="B544" s="2351" t="s">
        <v>282</v>
      </c>
      <c r="C544" s="2351"/>
      <c r="D544" s="2351"/>
      <c r="E544" s="2351"/>
      <c r="F544" s="2351"/>
      <c r="G544" s="2366">
        <f>'Part IV-A-Uses of Funds'!G108</f>
        <v>3999</v>
      </c>
      <c r="H544" s="2366">
        <f>'Part IV-A-Uses of Funds'!H108</f>
        <v>0</v>
      </c>
      <c r="I544" s="2351"/>
      <c r="J544" s="2366"/>
      <c r="K544" s="2366"/>
      <c r="L544" s="2381"/>
      <c r="M544" s="2366"/>
      <c r="N544" s="2366"/>
      <c r="O544" s="2351"/>
      <c r="P544" s="2366"/>
      <c r="Q544" s="2366"/>
      <c r="R544" s="2351"/>
      <c r="S544" s="2366">
        <f>'Part IV-A-Uses of Funds'!S108</f>
        <v>3999</v>
      </c>
      <c r="T544" s="2366">
        <f>'Part IV-A-Uses of Funds'!T108</f>
        <v>0</v>
      </c>
      <c r="U544" s="2351"/>
      <c r="V544" s="2465"/>
      <c r="W544" s="1329"/>
      <c r="X544" s="1329"/>
    </row>
    <row r="545" spans="1:24">
      <c r="A545" s="2351"/>
      <c r="B545" s="2351" t="s">
        <v>2401</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748</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7999</v>
      </c>
      <c r="H547" s="2366"/>
      <c r="I547" s="2351"/>
      <c r="J547" s="2366"/>
      <c r="K547" s="2366"/>
      <c r="L547" s="2381"/>
      <c r="M547" s="2366"/>
      <c r="N547" s="2366"/>
      <c r="O547" s="2351"/>
      <c r="P547" s="2366"/>
      <c r="Q547" s="2366"/>
      <c r="R547" s="2351"/>
      <c r="S547" s="2366">
        <f>SUM(S543:T546)</f>
        <v>7999</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1873</v>
      </c>
      <c r="C549" s="2351"/>
      <c r="D549" s="2351"/>
      <c r="E549" s="2351"/>
      <c r="F549" s="2448">
        <f>IF($G$118=0,0,G549/$G$118)</f>
        <v>0</v>
      </c>
      <c r="G549" s="2366">
        <f>'Part IV-A-Uses of Funds'!G113</f>
        <v>49889</v>
      </c>
      <c r="H549" s="2366">
        <f>'Part IV-A-Uses of Funds'!H113</f>
        <v>0</v>
      </c>
      <c r="I549" s="2351"/>
      <c r="J549" s="2366">
        <f>'Part IV-A-Uses of Funds'!J113</f>
        <v>0</v>
      </c>
      <c r="K549" s="2366">
        <f>'Part IV-A-Uses of Funds'!K113</f>
        <v>0</v>
      </c>
      <c r="L549" s="2469"/>
      <c r="M549" s="2366">
        <f>'Part IV-A-Uses of Funds'!M113</f>
        <v>0</v>
      </c>
      <c r="N549" s="2366">
        <f>'Part IV-A-Uses of Funds'!N113</f>
        <v>0</v>
      </c>
      <c r="O549" s="2351"/>
      <c r="P549" s="2366">
        <f>'Part IV-A-Uses of Funds'!P113</f>
        <v>49889</v>
      </c>
      <c r="Q549" s="2366">
        <f>'Part IV-A-Uses of Funds'!Q113</f>
        <v>0</v>
      </c>
      <c r="R549" s="2351"/>
      <c r="S549" s="2366">
        <f>'Part IV-A-Uses of Funds'!S113</f>
        <v>0</v>
      </c>
      <c r="T549" s="2366">
        <f>'Part IV-A-Uses of Funds'!T113</f>
        <v>0</v>
      </c>
      <c r="U549" s="2351"/>
      <c r="V549" s="2465"/>
      <c r="W549" s="1329"/>
      <c r="X549" s="1329"/>
    </row>
    <row r="550" spans="1:24">
      <c r="A550" s="2351"/>
      <c r="B550" s="2351" t="s">
        <v>4253</v>
      </c>
      <c r="C550" s="2351"/>
      <c r="D550" s="2351"/>
      <c r="E550" s="2351"/>
      <c r="F550" s="2502">
        <f>'Part IV-A-Uses of Funds'!F114</f>
        <v>4069</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1874</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3660</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1866</v>
      </c>
      <c r="C553" s="2351"/>
      <c r="D553" s="2351"/>
      <c r="E553" s="2351"/>
      <c r="F553" s="2448">
        <f>IF($G$118=0,0,G553/$G$118)</f>
        <v>0</v>
      </c>
      <c r="G553" s="2366">
        <f>'Part IV-A-Uses of Funds'!G117</f>
        <v>199520</v>
      </c>
      <c r="H553" s="2366">
        <f>'Part IV-A-Uses of Funds'!H117</f>
        <v>0</v>
      </c>
      <c r="I553" s="2351"/>
      <c r="J553" s="2366">
        <f>'Part IV-A-Uses of Funds'!J117</f>
        <v>0</v>
      </c>
      <c r="K553" s="2366">
        <f>'Part IV-A-Uses of Funds'!K117</f>
        <v>0</v>
      </c>
      <c r="L553" s="2381"/>
      <c r="M553" s="2366">
        <f>'Part IV-A-Uses of Funds'!M117</f>
        <v>0</v>
      </c>
      <c r="N553" s="2366">
        <f>'Part IV-A-Uses of Funds'!N117</f>
        <v>0</v>
      </c>
      <c r="O553" s="2351"/>
      <c r="P553" s="2366">
        <f>'Part IV-A-Uses of Funds'!P117</f>
        <v>199520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249409</v>
      </c>
      <c r="H554" s="2366"/>
      <c r="I554" s="2351"/>
      <c r="J554" s="2366">
        <f>SUM(J549:K553)</f>
        <v>0</v>
      </c>
      <c r="K554" s="2366"/>
      <c r="L554" s="2381"/>
      <c r="M554" s="2366">
        <f>SUM(M549:N553)</f>
        <v>0</v>
      </c>
      <c r="N554" s="2366"/>
      <c r="O554" s="2351"/>
      <c r="P554" s="2366">
        <f>SUM(P549:Q553)</f>
        <v>249409</v>
      </c>
      <c r="Q554" s="2366"/>
      <c r="R554" s="2351"/>
      <c r="S554" s="2366">
        <f>SUM(S549:T553)</f>
        <v>0</v>
      </c>
      <c r="T554" s="2366"/>
      <c r="U554" s="2351"/>
      <c r="V554" s="2465">
        <f>SUM(V549:V553)</f>
        <v>0</v>
      </c>
      <c r="W554" s="1329"/>
      <c r="X554" s="1329"/>
    </row>
    <row r="555" spans="1:24">
      <c r="A555" s="2351"/>
      <c r="B555" s="2348" t="s">
        <v>1320</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5865</v>
      </c>
      <c r="H556" s="2366">
        <f>'Part IV-A-Uses of Funds'!H120</f>
        <v>0</v>
      </c>
      <c r="I556" s="2351"/>
      <c r="J556" s="2497"/>
      <c r="K556" s="2497"/>
      <c r="L556" s="2497"/>
      <c r="M556" s="2497"/>
      <c r="N556" s="2497"/>
      <c r="O556" s="2351"/>
      <c r="P556" s="2497"/>
      <c r="Q556" s="2497"/>
      <c r="R556" s="2351"/>
      <c r="S556" s="2366">
        <f>'Part IV-A-Uses of Funds'!S120</f>
        <v>5865</v>
      </c>
      <c r="T556" s="2366">
        <f>'Part IV-A-Uses of Funds'!T120</f>
        <v>0</v>
      </c>
      <c r="U556" s="2351"/>
      <c r="V556" s="2465"/>
      <c r="W556" s="1329"/>
      <c r="X556" s="1329"/>
    </row>
    <row r="557" spans="1:24">
      <c r="A557" s="2351"/>
      <c r="B557" s="2351" t="s">
        <v>1547</v>
      </c>
      <c r="C557" s="2351"/>
      <c r="D557" s="2351"/>
      <c r="E557" s="2351"/>
      <c r="F557" s="2409">
        <f>+'Part VI-Revenues &amp; Expenses'!$P$175*('DCA Underwriting Assumptions'!$Q$110/12)</f>
        <v>38456.5</v>
      </c>
      <c r="G557" s="2366">
        <f>'Part IV-A-Uses of Funds'!G121</f>
        <v>38457</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38457</v>
      </c>
      <c r="T557" s="2366">
        <f>'Part IV-A-Uses of Funds'!T121</f>
        <v>0</v>
      </c>
      <c r="U557" s="2351"/>
      <c r="V557" s="2465"/>
      <c r="W557" s="1329"/>
      <c r="X557" s="1329"/>
    </row>
    <row r="558" spans="1:24">
      <c r="A558" s="2351"/>
      <c r="B558" s="2351" t="s">
        <v>683</v>
      </c>
      <c r="C558" s="2351"/>
      <c r="D558" s="2351"/>
      <c r="E558" s="2351"/>
      <c r="F558" s="2504">
        <f>'Part VI-Revenues &amp; Expenses'!$P$175*('DCA Underwriting Assumptions'!$Q$109/12)+('Part VII-Pro Forma'!$B$23+'Part VII-Pro Forma'!$B$24+'Part VII-Pro Forma'!$B$25+'Part VII-Pro Forma'!$B$26)*'DCA Underwriting Assumptions'!$Q$108/(-12)</f>
        <v>76913</v>
      </c>
      <c r="G558" s="2366">
        <f>'Part IV-A-Uses of Funds'!G122</f>
        <v>76913</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76913</v>
      </c>
      <c r="T558" s="2366">
        <f>'Part IV-A-Uses of Funds'!T122</f>
        <v>0</v>
      </c>
      <c r="U558" s="2351"/>
      <c r="V558" s="2465"/>
      <c r="W558" s="1329"/>
      <c r="X558" s="1329"/>
    </row>
    <row r="559" spans="1:24">
      <c r="A559" s="2351"/>
      <c r="B559" s="2351" t="s">
        <v>1255</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1256</v>
      </c>
      <c r="C560" s="2351"/>
      <c r="D560" s="2351"/>
      <c r="E560" s="2415" t="s">
        <v>3589</v>
      </c>
      <c r="F560" s="2417">
        <f>IF('Part VI-Revenues &amp; Expenses'!$O$62=0,0,G560/'Part VI-Revenues &amp; Expenses'!$O$62)</f>
        <v>312.5</v>
      </c>
      <c r="G560" s="2366">
        <f>'Part IV-A-Uses of Funds'!G124</f>
        <v>15000</v>
      </c>
      <c r="H560" s="2366">
        <f>'Part IV-A-Uses of Funds'!H124</f>
        <v>0</v>
      </c>
      <c r="I560" s="2351"/>
      <c r="J560" s="2366">
        <f>'Part IV-A-Uses of Funds'!J124</f>
        <v>0</v>
      </c>
      <c r="K560" s="2366">
        <f>'Part IV-A-Uses of Funds'!K124</f>
        <v>0</v>
      </c>
      <c r="L560" s="2381"/>
      <c r="M560" s="2366">
        <f>'Part IV-A-Uses of Funds'!M124</f>
        <v>0</v>
      </c>
      <c r="N560" s="2366">
        <f>'Part IV-A-Uses of Funds'!N124</f>
        <v>0</v>
      </c>
      <c r="O560" s="2351"/>
      <c r="P560" s="2366">
        <f>'Part IV-A-Uses of Funds'!P124</f>
        <v>15000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748</v>
      </c>
      <c r="C561" s="2369">
        <f>'Part IV-A-Uses of Funds'!C125</f>
        <v>0</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136235</v>
      </c>
      <c r="H562" s="2366"/>
      <c r="I562" s="2351"/>
      <c r="J562" s="2366">
        <f>SUM(J560:K561)</f>
        <v>0</v>
      </c>
      <c r="K562" s="2366"/>
      <c r="L562" s="2381"/>
      <c r="M562" s="2366">
        <f>SUM(M560:N561)</f>
        <v>0</v>
      </c>
      <c r="N562" s="2366"/>
      <c r="O562" s="2351"/>
      <c r="P562" s="2366">
        <f>SUM(P560:Q561)</f>
        <v>15000</v>
      </c>
      <c r="Q562" s="2366"/>
      <c r="R562" s="2351"/>
      <c r="S562" s="2366">
        <f>SUM(S556:T561)</f>
        <v>121235</v>
      </c>
      <c r="T562" s="2366"/>
      <c r="U562" s="2351"/>
      <c r="V562" s="2465">
        <f>SUM(V556:V561)</f>
        <v>0</v>
      </c>
      <c r="W562" s="1329"/>
      <c r="X562" s="1329"/>
    </row>
    <row r="563" spans="1:24">
      <c r="A563" s="2351"/>
      <c r="B563" s="2348" t="s">
        <v>615</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616</v>
      </c>
      <c r="C564" s="2359"/>
      <c r="D564" s="2351"/>
      <c r="E564" s="2351"/>
      <c r="F564" s="2351"/>
      <c r="G564" s="2366">
        <f>'Part IV-A-Uses of Funds'!G128</f>
        <v>75000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75000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748</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75000</v>
      </c>
      <c r="H566" s="2366"/>
      <c r="I566" s="2351"/>
      <c r="J566" s="2366">
        <f>SUM(J564:K565)</f>
        <v>0</v>
      </c>
      <c r="K566" s="2366"/>
      <c r="L566" s="2381"/>
      <c r="M566" s="2366">
        <f>SUM(M564:N565)</f>
        <v>0</v>
      </c>
      <c r="N566" s="2366"/>
      <c r="O566" s="2351"/>
      <c r="P566" s="2366">
        <f>SUM(P564:Q565)</f>
        <v>0</v>
      </c>
      <c r="Q566" s="2366"/>
      <c r="R566" s="2351"/>
      <c r="S566" s="2366">
        <f>SUM(S564:T565)</f>
        <v>75000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4751</v>
      </c>
      <c r="C568" s="2351"/>
      <c r="D568" s="2351"/>
      <c r="E568" s="2351"/>
      <c r="F568" s="2351"/>
      <c r="G568" s="2507">
        <f>G453+G459+G463+G469+G474+G477+G483+G500+G513+G519+G527+G541+G547+G554+G562+G566</f>
        <v>3838818</v>
      </c>
      <c r="H568" s="2507"/>
      <c r="I568" s="2351"/>
      <c r="J568" s="2507">
        <f>J453+J459+J463+J469+J474+J477+J483+J500+J513+J519+J527+J541+J547+J554+J562+J566</f>
        <v>0</v>
      </c>
      <c r="K568" s="2507"/>
      <c r="L568" s="2351"/>
      <c r="M568" s="2507">
        <f>M453+M459+M463+M469+M474+M477+M483+M500+M513+M519+M527+M541+M547+M554+M562+M566</f>
        <v>868975</v>
      </c>
      <c r="N568" s="2507"/>
      <c r="O568" s="2351"/>
      <c r="P568" s="2507">
        <f>P453+P459+P463+P469+P474+P477+P483+P500+P513+P519+P527+P541+P547+P554+P562+P566</f>
        <v>2359859</v>
      </c>
      <c r="Q568" s="2507"/>
      <c r="R568" s="2351"/>
      <c r="S568" s="2507">
        <f>S453+S459+S463+S469+S474+S477+S483+S500+S513+S519+S527+S541+S547+S554+S562+S566</f>
        <v>609984</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4752</v>
      </c>
      <c r="C570" s="2480"/>
      <c r="D570" s="2509">
        <f>IF('Part VI-Revenues &amp; Expenses'!$O$62=0,0,G568/'Part VI-Revenues &amp; Expenses'!$O$62)</f>
        <v>79975.375</v>
      </c>
      <c r="E570" s="2509"/>
      <c r="F570" s="2496" t="s">
        <v>2780</v>
      </c>
      <c r="G570" s="2509">
        <f>IF('Part I-Project Information'!$P$71=0,0,G568/'Part I-Project Information'!$P$71)</f>
        <v>95.528630085852924</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747</v>
      </c>
      <c r="B573" s="2512" t="s">
        <v>1437</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2059</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2167</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1876</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1877</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1612</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1878</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2355</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1802</v>
      </c>
      <c r="C585" s="2351"/>
      <c r="D585" s="2351"/>
      <c r="E585" s="2351"/>
      <c r="F585" s="2351"/>
      <c r="G585" s="2351"/>
      <c r="H585" s="2351"/>
      <c r="I585" s="2351"/>
      <c r="J585" s="2387">
        <f>J568</f>
        <v>0</v>
      </c>
      <c r="K585" s="2387"/>
      <c r="L585" s="2351"/>
      <c r="M585" s="2387">
        <f>M568</f>
        <v>868975</v>
      </c>
      <c r="N585" s="2387"/>
      <c r="O585" s="2351"/>
      <c r="P585" s="2387">
        <f>P568</f>
        <v>2359859</v>
      </c>
      <c r="Q585" s="2387"/>
      <c r="R585" s="2351"/>
      <c r="S585" s="2351"/>
      <c r="T585" s="2351"/>
      <c r="U585" s="2351"/>
      <c r="V585" s="2465"/>
      <c r="W585" s="1329"/>
      <c r="X585" s="1329"/>
    </row>
    <row r="586" spans="1:24">
      <c r="A586" s="2351"/>
      <c r="B586" s="2351" t="s">
        <v>2235</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2236</v>
      </c>
      <c r="C587" s="2351"/>
      <c r="D587" s="2351"/>
      <c r="E587" s="2351"/>
      <c r="F587" s="2351"/>
      <c r="G587" s="2351"/>
      <c r="H587" s="2351"/>
      <c r="I587" s="2351"/>
      <c r="J587" s="2387">
        <f>J585-J586</f>
        <v>0</v>
      </c>
      <c r="K587" s="2387"/>
      <c r="L587" s="2351"/>
      <c r="M587" s="2387">
        <f>M585</f>
        <v>868975</v>
      </c>
      <c r="N587" s="2387"/>
      <c r="O587" s="2351"/>
      <c r="P587" s="2387">
        <f>P585-P586</f>
        <v>2359859</v>
      </c>
      <c r="Q587" s="2387"/>
      <c r="R587" s="2351"/>
      <c r="S587" s="2351"/>
      <c r="T587" s="2351"/>
      <c r="U587" s="2351"/>
      <c r="V587" s="2465"/>
      <c r="W587" s="1329"/>
      <c r="X587" s="1329"/>
    </row>
    <row r="588" spans="1:24">
      <c r="A588" s="2351"/>
      <c r="B588" s="2351" t="s">
        <v>1496</v>
      </c>
      <c r="C588" s="2351"/>
      <c r="D588" s="2351"/>
      <c r="E588" s="2351"/>
      <c r="F588" s="2351"/>
      <c r="G588" s="2356" t="s">
        <v>1726</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1.3</v>
      </c>
      <c r="Q588" s="2514">
        <f>'Part IV-A-Uses of Funds'!Q152</f>
        <v>0</v>
      </c>
      <c r="R588" s="2351"/>
      <c r="S588" s="2351"/>
      <c r="T588" s="2351"/>
      <c r="U588" s="2351"/>
      <c r="V588" s="2465"/>
      <c r="W588" s="1329"/>
      <c r="X588" s="1329"/>
    </row>
    <row r="589" spans="1:24">
      <c r="A589" s="2351"/>
      <c r="B589" s="2351" t="s">
        <v>2069</v>
      </c>
      <c r="C589" s="2351"/>
      <c r="D589" s="2351"/>
      <c r="E589" s="2351"/>
      <c r="F589" s="2351"/>
      <c r="G589" s="2351"/>
      <c r="H589" s="2351"/>
      <c r="I589" s="2351"/>
      <c r="J589" s="2387">
        <f>J587*J588</f>
        <v>0</v>
      </c>
      <c r="K589" s="2387"/>
      <c r="L589" s="2351"/>
      <c r="M589" s="2387">
        <f>+M587</f>
        <v>868975</v>
      </c>
      <c r="N589" s="2387"/>
      <c r="O589" s="2351"/>
      <c r="P589" s="2387">
        <f>P587*P588</f>
        <v>3067816.7</v>
      </c>
      <c r="Q589" s="2387"/>
      <c r="R589" s="2351"/>
      <c r="S589" s="2351"/>
      <c r="T589" s="2351"/>
      <c r="U589" s="2351"/>
      <c r="V589" s="2465"/>
      <c r="W589" s="1329"/>
      <c r="X589" s="1329"/>
    </row>
    <row r="590" spans="1:24">
      <c r="A590" s="2351"/>
      <c r="B590" s="2351" t="s">
        <v>2557</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2060</v>
      </c>
      <c r="C591" s="2351"/>
      <c r="D591" s="2351"/>
      <c r="E591" s="2351"/>
      <c r="F591" s="2351"/>
      <c r="G591" s="2351"/>
      <c r="H591" s="2351"/>
      <c r="I591" s="2351"/>
      <c r="J591" s="2387">
        <f>J589*J590</f>
        <v>0</v>
      </c>
      <c r="K591" s="2387"/>
      <c r="L591" s="2351"/>
      <c r="M591" s="2387">
        <f>M589*M590</f>
        <v>868975</v>
      </c>
      <c r="N591" s="2387"/>
      <c r="O591" s="2351"/>
      <c r="P591" s="2387">
        <f>P589*P590</f>
        <v>3067816.7</v>
      </c>
      <c r="Q591" s="2387"/>
      <c r="R591" s="2351"/>
      <c r="S591" s="2351"/>
      <c r="T591" s="2351"/>
      <c r="U591" s="2351"/>
      <c r="V591" s="2465"/>
      <c r="W591" s="1329"/>
      <c r="X591" s="1329"/>
    </row>
    <row r="592" spans="1:24">
      <c r="A592" s="2351"/>
      <c r="B592" s="2351" t="s">
        <v>2061</v>
      </c>
      <c r="C592" s="2351"/>
      <c r="D592" s="2351"/>
      <c r="E592" s="2351"/>
      <c r="F592" s="2351"/>
      <c r="G592" s="2351"/>
      <c r="H592" s="2351"/>
      <c r="I592" s="2351"/>
      <c r="J592" s="2514">
        <f>'Part IV-A-Uses of Funds'!J156</f>
        <v>0.09</v>
      </c>
      <c r="K592" s="2514">
        <f>'Part IV-A-Uses of Funds'!K156</f>
        <v>0</v>
      </c>
      <c r="L592" s="2351"/>
      <c r="M592" s="2514">
        <f>'Part IV-A-Uses of Funds'!M156</f>
        <v>3.2800000000000003E-2</v>
      </c>
      <c r="N592" s="2514">
        <f>'Part IV-A-Uses of Funds'!N156</f>
        <v>0</v>
      </c>
      <c r="O592" s="2351"/>
      <c r="P592" s="2514">
        <f>'Part IV-A-Uses of Funds'!P156</f>
        <v>0.09</v>
      </c>
      <c r="Q592" s="2514">
        <f>'Part IV-A-Uses of Funds'!Q156</f>
        <v>0</v>
      </c>
      <c r="R592" s="2351"/>
      <c r="S592" s="2351"/>
      <c r="T592" s="2351"/>
      <c r="U592" s="2351"/>
      <c r="V592" s="2465"/>
      <c r="W592" s="1329"/>
      <c r="X592" s="1329"/>
    </row>
    <row r="593" spans="1:24">
      <c r="A593" s="2351"/>
      <c r="B593" s="2351" t="s">
        <v>2558</v>
      </c>
      <c r="C593" s="2351"/>
      <c r="D593" s="2351"/>
      <c r="E593" s="2351"/>
      <c r="F593" s="2351"/>
      <c r="G593" s="2351"/>
      <c r="H593" s="2351"/>
      <c r="I593" s="2351"/>
      <c r="J593" s="2387">
        <f>J591*J592</f>
        <v>0</v>
      </c>
      <c r="K593" s="2387"/>
      <c r="L593" s="2351"/>
      <c r="M593" s="2387">
        <f>M591*M592</f>
        <v>28502.38</v>
      </c>
      <c r="N593" s="2387"/>
      <c r="O593" s="2351"/>
      <c r="P593" s="2387">
        <f>P591*P592</f>
        <v>276103.50300000003</v>
      </c>
      <c r="Q593" s="2387"/>
      <c r="R593" s="2351"/>
      <c r="S593" s="2351"/>
      <c r="T593" s="2351"/>
      <c r="U593" s="2351"/>
      <c r="V593" s="2465"/>
      <c r="W593" s="1329"/>
      <c r="X593" s="1329"/>
    </row>
    <row r="594" spans="1:24">
      <c r="A594" s="2351"/>
      <c r="B594" s="2348" t="s">
        <v>1435</v>
      </c>
      <c r="C594" s="2351"/>
      <c r="D594" s="2351"/>
      <c r="E594" s="2351"/>
      <c r="F594" s="2351"/>
      <c r="G594" s="2351"/>
      <c r="H594" s="2351"/>
      <c r="I594" s="2351"/>
      <c r="J594" s="2446">
        <f>J593+M593+P593</f>
        <v>304605.88300000003</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749</v>
      </c>
      <c r="B596" s="2464" t="s">
        <v>1438</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4753</v>
      </c>
      <c r="C598" s="2351"/>
      <c r="D598" s="2351"/>
      <c r="E598" s="2351"/>
      <c r="F598" s="2351"/>
      <c r="G598" s="2474" t="str">
        <f>IF(J599&gt;J598,"TDC exceeds QAP PUCL!","")</f>
        <v/>
      </c>
      <c r="H598" s="2474"/>
      <c r="I598" s="2474"/>
      <c r="J598" s="2444">
        <f>'Part VIII-Threshold Criteria'!$P$63</f>
        <v>9013956</v>
      </c>
      <c r="K598" s="2444"/>
      <c r="L598" s="2444"/>
      <c r="M598" s="2518" t="s">
        <v>2763</v>
      </c>
      <c r="N598" s="2518"/>
      <c r="O598" s="2518"/>
      <c r="P598" s="2518"/>
      <c r="Q598" s="2518"/>
      <c r="R598" s="2518"/>
      <c r="S598" s="2518" t="s">
        <v>3701</v>
      </c>
      <c r="T598" s="2518"/>
      <c r="U598" s="2351"/>
      <c r="V598" s="2465"/>
      <c r="W598" s="1329"/>
      <c r="X598" s="1329"/>
    </row>
    <row r="599" spans="1:24">
      <c r="A599" s="2351"/>
      <c r="B599" s="2351" t="s">
        <v>4754</v>
      </c>
      <c r="C599" s="2351"/>
      <c r="D599" s="2351"/>
      <c r="E599" s="2351"/>
      <c r="F599" s="2351"/>
      <c r="G599" s="2351"/>
      <c r="H599" s="2351"/>
      <c r="I599" s="2351"/>
      <c r="J599" s="2387">
        <f>'Part IV-A-Uses of Funds'!J163</f>
        <v>3838818</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0</v>
      </c>
      <c r="K600" s="2387"/>
      <c r="L600" s="2387"/>
      <c r="M600" s="2518"/>
      <c r="N600" s="2518"/>
      <c r="O600" s="2518"/>
      <c r="P600" s="2518"/>
      <c r="Q600" s="2518"/>
      <c r="R600" s="2518"/>
      <c r="S600" s="2518"/>
      <c r="T600" s="2518"/>
      <c r="U600" s="2351"/>
      <c r="V600" s="2465"/>
      <c r="W600" s="1329"/>
      <c r="X600" s="1329"/>
    </row>
    <row r="601" spans="1:24" ht="13.5">
      <c r="A601" s="2351"/>
      <c r="B601" s="2351" t="s">
        <v>2247</v>
      </c>
      <c r="C601" s="2351"/>
      <c r="D601" s="2351"/>
      <c r="E601" s="2351"/>
      <c r="F601" s="2351"/>
      <c r="G601" s="2351"/>
      <c r="H601" s="2351"/>
      <c r="I601" s="2351"/>
      <c r="J601" s="2387">
        <f>+J599-J600</f>
        <v>3838818</v>
      </c>
      <c r="K601" s="2387"/>
      <c r="L601" s="2387"/>
      <c r="M601" s="2363" t="s">
        <v>2764</v>
      </c>
      <c r="N601" s="2363"/>
      <c r="O601" s="2519">
        <f>'Part III-Sources of Funds'!$I$41</f>
        <v>0</v>
      </c>
      <c r="P601" s="2519"/>
      <c r="Q601" s="2519"/>
      <c r="R601" s="2519"/>
      <c r="S601" s="2520" t="s">
        <v>1674</v>
      </c>
      <c r="T601" s="2521">
        <f>'Part IV-A-Uses of Funds'!T165</f>
        <v>0</v>
      </c>
      <c r="U601" s="2351"/>
      <c r="V601" s="2465"/>
      <c r="W601" s="1329"/>
      <c r="X601" s="1329"/>
    </row>
    <row r="602" spans="1:24" ht="13.5">
      <c r="A602" s="2351"/>
      <c r="B602" s="2351" t="s">
        <v>1297</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1298</v>
      </c>
      <c r="C603" s="2351"/>
      <c r="D603" s="2351"/>
      <c r="E603" s="2351"/>
      <c r="F603" s="2351"/>
      <c r="G603" s="2351"/>
      <c r="H603" s="2351"/>
      <c r="I603" s="2351"/>
      <c r="J603" s="2387">
        <f>J601/10</f>
        <v>383881.8</v>
      </c>
      <c r="K603" s="2387"/>
      <c r="L603" s="2387"/>
      <c r="M603" s="2358"/>
      <c r="N603" s="2351" t="s">
        <v>1299</v>
      </c>
      <c r="O603" s="2351"/>
      <c r="P603" s="2351"/>
      <c r="Q603" s="2351" t="s">
        <v>1811</v>
      </c>
      <c r="R603" s="2351"/>
      <c r="S603" s="2351"/>
      <c r="T603" s="2351"/>
      <c r="U603" s="2351"/>
      <c r="V603" s="2465"/>
      <c r="W603" s="1329"/>
      <c r="X603" s="1329"/>
    </row>
    <row r="604" spans="1:24">
      <c r="A604" s="2351"/>
      <c r="B604" s="2351" t="s">
        <v>4755</v>
      </c>
      <c r="C604" s="2351"/>
      <c r="D604" s="2351"/>
      <c r="E604" s="2351"/>
      <c r="F604" s="2351"/>
      <c r="G604" s="2351"/>
      <c r="H604" s="2351"/>
      <c r="I604" s="2351"/>
      <c r="J604" s="2522">
        <f>N604+Q604</f>
        <v>1.3</v>
      </c>
      <c r="K604" s="2522"/>
      <c r="L604" s="2522"/>
      <c r="M604" s="2356" t="s">
        <v>1300</v>
      </c>
      <c r="N604" s="2523">
        <f>'Part IV-A-Uses of Funds'!N168</f>
        <v>0.85</v>
      </c>
      <c r="O604" s="2523">
        <f>'Part IV-A-Uses of Funds'!O168</f>
        <v>0</v>
      </c>
      <c r="P604" s="2356" t="s">
        <v>617</v>
      </c>
      <c r="Q604" s="2523">
        <f>'Part IV-A-Uses of Funds'!Q168</f>
        <v>0.45</v>
      </c>
      <c r="R604" s="2523">
        <f>'Part IV-A-Uses of Funds'!R168</f>
        <v>0</v>
      </c>
      <c r="S604" s="2351"/>
      <c r="T604" s="2351"/>
      <c r="U604" s="2351"/>
      <c r="V604" s="2465"/>
      <c r="W604" s="1329"/>
      <c r="X604" s="1329"/>
    </row>
    <row r="605" spans="1:24">
      <c r="A605" s="2351"/>
      <c r="B605" s="2348" t="s">
        <v>1436</v>
      </c>
      <c r="C605" s="2351"/>
      <c r="D605" s="2351"/>
      <c r="E605" s="2351"/>
      <c r="F605" s="2351"/>
      <c r="G605" s="2351"/>
      <c r="H605" s="2351"/>
      <c r="I605" s="2351"/>
      <c r="J605" s="2446">
        <f>IF(J604=0,"",J603/J604)</f>
        <v>295293.69230769231</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4756</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295293.69230769231</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4757</v>
      </c>
      <c r="C609" s="2351"/>
      <c r="D609" s="2351"/>
      <c r="E609" s="2351"/>
      <c r="F609" s="2351"/>
      <c r="G609" s="2351"/>
      <c r="H609" s="2351"/>
      <c r="I609" s="2351"/>
      <c r="J609" s="2446">
        <f>'Part IV-A-Uses of Funds'!J173</f>
        <v>295000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1804</v>
      </c>
      <c r="B611" s="2464" t="s">
        <v>4758</v>
      </c>
      <c r="C611" s="2351"/>
      <c r="D611" s="2358"/>
      <c r="E611" s="2358"/>
      <c r="F611" s="2359"/>
      <c r="G611" s="2351"/>
      <c r="H611" s="2351"/>
      <c r="I611" s="2351"/>
      <c r="J611" s="2446">
        <f>IF(J609="",0,+MIN(J607,J609))</f>
        <v>295000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1806</v>
      </c>
      <c r="B614" s="2399" t="s">
        <v>576</v>
      </c>
      <c r="C614" s="2358"/>
      <c r="D614" s="2358"/>
      <c r="E614" s="2358"/>
      <c r="F614" s="2358"/>
      <c r="G614" s="2358"/>
      <c r="H614" s="2358"/>
      <c r="I614" s="2358"/>
      <c r="J614" s="2358"/>
      <c r="K614" s="2358"/>
      <c r="L614" s="2358"/>
      <c r="M614" s="2358"/>
      <c r="N614" s="2348" t="s">
        <v>534</v>
      </c>
      <c r="O614" s="2348" t="s">
        <v>80</v>
      </c>
      <c r="P614" s="2358"/>
      <c r="Q614" s="2358"/>
      <c r="R614" s="2358"/>
      <c r="S614" s="2358"/>
      <c r="T614" s="2358"/>
      <c r="U614" s="2358"/>
      <c r="V614" s="2358"/>
      <c r="W614" s="2358"/>
      <c r="X614" s="2358"/>
    </row>
    <row r="615" spans="1:24" ht="15.75" customHeight="1">
      <c r="A615" s="2423" t="str">
        <f>'Part IV-A-Uses of Funds'!A179</f>
        <v>The land is valued by the Appraisal.  The total price of this property is under the appraised value.  The hard rehab cost were based on a PNA in consultation with the contractor who has a lot of experience in rehabs.  The amount to be spent on rehab is approximately $37,000 per unit including contractor services.</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2709</v>
      </c>
      <c r="X615" s="2525"/>
    </row>
    <row r="623" spans="1:24" ht="15.75">
      <c r="A623" s="2526" t="str">
        <f>CONCATENATE("PART FOUR (b) -  OTHER COSTS","  -  ",'Part I-Project Information'!$O$6," - ",'Part I-Project Information'!$F$34,"  -  ",'Part I-Project Information'!$F$38,"  -  ",'Part I-Project Information'!$J$39,",  ","County")</f>
        <v>PART FOUR (b) -  OTHER COSTS  -  2018-032 - Hillcrest Apartments  -  Dublin  -  Laurens,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3742</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4759</v>
      </c>
      <c r="B627" s="2529"/>
      <c r="C627" s="2529"/>
      <c r="D627" s="2529"/>
      <c r="E627" s="2527"/>
      <c r="F627" s="2530" t="s">
        <v>3733</v>
      </c>
      <c r="G627" s="2531"/>
      <c r="H627" s="2530" t="s">
        <v>3734</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Property Needs Assessment</v>
      </c>
      <c r="B631" s="2536"/>
      <c r="C631" s="2536"/>
      <c r="D631" s="2536"/>
      <c r="E631" s="2533"/>
      <c r="F631" s="2537" t="str">
        <f>'Part IV-B-Other Items'!F9</f>
        <v>A PNA Study</v>
      </c>
      <c r="G631" s="2535"/>
      <c r="H631" s="2537" t="str">
        <f>'Part IV-B-Other Items'!H9</f>
        <v>This is a soft cvost item that would normally go into basis.</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3736</v>
      </c>
      <c r="B634" s="2539">
        <f>'Part IV-A-Uses of Funds'!$G$14</f>
        <v>5000</v>
      </c>
      <c r="C634" s="2538" t="s">
        <v>1802</v>
      </c>
      <c r="D634" s="2539">
        <f>'Part IV-A-Uses of Funds'!$J$14+'Part IV-A-Uses of Funds'!$M$14+'Part IV-A-Uses of Funds'!$P$14</f>
        <v>5000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3736</v>
      </c>
      <c r="B639" s="2539">
        <f>'Part IV-A-Uses of Funds'!$G$15</f>
        <v>0</v>
      </c>
      <c r="C639" s="2538" t="s">
        <v>1802</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3736</v>
      </c>
      <c r="B644" s="2539">
        <f>'Part IV-A-Uses of Funds'!$G$16</f>
        <v>0</v>
      </c>
      <c r="C644" s="2538" t="s">
        <v>1802</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3735</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3736</v>
      </c>
      <c r="B650" s="2539">
        <f>'Part IV-A-Uses of Funds'!$G$41</f>
        <v>0</v>
      </c>
      <c r="C650" s="2538" t="s">
        <v>1802</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729</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3736</v>
      </c>
      <c r="B656" s="2539">
        <f>'Part IV-A-Uses of Funds'!$G$62</f>
        <v>0</v>
      </c>
      <c r="C656" s="2538" t="s">
        <v>1802</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3736</v>
      </c>
      <c r="B661" s="2539">
        <f>'Part IV-A-Uses of Funds'!$G$63</f>
        <v>0</v>
      </c>
      <c r="C661" s="2538" t="s">
        <v>1802</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Raymond James Fee</v>
      </c>
      <c r="B664" s="2536"/>
      <c r="C664" s="2536"/>
      <c r="D664" s="2536"/>
      <c r="E664" s="2533"/>
      <c r="F664" s="2537" t="str">
        <f>'Part IV-B-Other Items'!F42</f>
        <v>This is a standard fee charged by Raymond James to cover their out of pocket expense.</v>
      </c>
      <c r="G664" s="2535"/>
      <c r="H664" s="2537" t="str">
        <f>'Part IV-B-Other Items'!H42</f>
        <v>This cost is not in basis</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3736</v>
      </c>
      <c r="B667" s="2539">
        <f>'Part IV-A-Uses of Funds'!$G$76</f>
        <v>50000</v>
      </c>
      <c r="C667" s="2538" t="s">
        <v>1802</v>
      </c>
      <c r="D667" s="2539">
        <f>'Part IV-A-Uses of Funds'!$J$76+'Part IV-A-Uses of Funds'!$M$76+'Part IV-A-Uses of Funds'!$P$76</f>
        <v>50000</v>
      </c>
      <c r="E667" s="2535"/>
      <c r="F667" s="2537"/>
      <c r="G667" s="2535"/>
      <c r="H667" s="2537"/>
    </row>
    <row r="668" spans="1:8">
      <c r="A668" s="2535"/>
      <c r="B668" s="2540"/>
      <c r="C668" s="2535"/>
      <c r="D668" s="2535"/>
      <c r="E668" s="2535"/>
      <c r="F668" s="2537"/>
      <c r="G668" s="2541"/>
      <c r="H668" s="2537"/>
    </row>
    <row r="669" spans="1:8" ht="13.5">
      <c r="A669" s="2534" t="s">
        <v>731</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3736</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4760</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3736</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3736</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4761</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3736</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1320</v>
      </c>
      <c r="B692" s="2535"/>
      <c r="C692" s="2535"/>
      <c r="D692" s="2535"/>
      <c r="E692" s="2535"/>
      <c r="F692" s="2535"/>
      <c r="G692" s="2535"/>
      <c r="H692" s="2533"/>
    </row>
    <row r="693" spans="1:8" ht="13.5" customHeight="1">
      <c r="A693" s="2536">
        <f>'Part IV-A-Uses of Funds'!$C$125</f>
        <v>0</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3736</v>
      </c>
      <c r="B696" s="2539">
        <f>'Part IV-A-Uses of Funds'!$G$125</f>
        <v>0</v>
      </c>
      <c r="C696" s="2538" t="s">
        <v>1802</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4762</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3736</v>
      </c>
      <c r="B702" s="2539">
        <f>'Part IV-A-Uses of Funds'!$G$129</f>
        <v>0</v>
      </c>
      <c r="C702" s="2538" t="s">
        <v>1802</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2018-032 Hillcrest Apartments, ,  County</v>
      </c>
      <c r="B710" s="2544"/>
      <c r="C710" s="2544"/>
      <c r="D710" s="2544"/>
      <c r="E710" s="2544"/>
      <c r="F710" s="2544"/>
      <c r="G710" s="2544"/>
      <c r="H710" s="2544"/>
      <c r="I710" s="2544"/>
      <c r="J710" s="2544"/>
      <c r="K710" s="2544"/>
      <c r="L710" s="2544"/>
      <c r="M710" s="2544"/>
    </row>
    <row r="712" spans="1:13">
      <c r="F712" s="2544" t="s">
        <v>519</v>
      </c>
      <c r="I712" s="2545" t="str">
        <f>VLOOKUP('Part I-Project Information'!$J$39,'DCA Underwriting Assumptions'!$G$155:$H$314,2)</f>
        <v>North</v>
      </c>
    </row>
    <row r="714" spans="1:13">
      <c r="A714" s="2546" t="s">
        <v>3836</v>
      </c>
    </row>
    <row r="716" spans="1:13">
      <c r="A716" s="2547" t="s">
        <v>621</v>
      </c>
      <c r="B716" s="2547" t="s">
        <v>2242</v>
      </c>
      <c r="F716" s="683" t="s">
        <v>2535</v>
      </c>
      <c r="I716" s="2548" t="str">
        <f>'Part V-Utility Allowances'!I7</f>
        <v>DCA</v>
      </c>
      <c r="J716" s="2548"/>
      <c r="K716" s="2548"/>
      <c r="L716" s="2548"/>
      <c r="M716" s="2548"/>
    </row>
    <row r="717" spans="1:13">
      <c r="A717" s="2547"/>
      <c r="F717" s="683" t="s">
        <v>641</v>
      </c>
      <c r="I717" s="2549">
        <f>'Part V-Utility Allowances'!I8</f>
        <v>43101</v>
      </c>
      <c r="J717" s="2549">
        <f>'Part V-Utility Allowances'!J8</f>
        <v>0</v>
      </c>
      <c r="K717" s="2550" t="s">
        <v>544</v>
      </c>
      <c r="L717" s="2442" t="str">
        <f>'Part V-Utility Allowances'!L8</f>
        <v>2-Story Walkup</v>
      </c>
      <c r="M717" s="2442">
        <f>'Part V-Utility Allowances'!M8</f>
        <v>0</v>
      </c>
    </row>
    <row r="718" spans="1:13">
      <c r="A718" s="2547"/>
    </row>
    <row r="719" spans="1:13">
      <c r="A719" s="2547"/>
      <c r="B719" s="2547"/>
      <c r="C719" s="2547"/>
      <c r="D719" s="2547"/>
      <c r="E719" s="2547"/>
      <c r="F719" s="2551" t="s">
        <v>614</v>
      </c>
      <c r="G719" s="2551"/>
      <c r="H719" s="2547"/>
      <c r="I719" s="2551" t="s">
        <v>202</v>
      </c>
      <c r="J719" s="2551"/>
      <c r="K719" s="2551"/>
      <c r="L719" s="2551"/>
      <c r="M719" s="2551"/>
    </row>
    <row r="720" spans="1:13">
      <c r="A720" s="2547"/>
      <c r="B720" s="2547" t="s">
        <v>805</v>
      </c>
      <c r="C720" s="2547"/>
      <c r="D720" s="2547" t="s">
        <v>1610</v>
      </c>
      <c r="E720" s="2547"/>
      <c r="F720" s="2552" t="s">
        <v>647</v>
      </c>
      <c r="G720" s="2552" t="s">
        <v>1863</v>
      </c>
      <c r="H720" s="2547"/>
      <c r="I720" s="2552" t="s">
        <v>572</v>
      </c>
      <c r="J720" s="2552">
        <v>1</v>
      </c>
      <c r="K720" s="2552">
        <v>2</v>
      </c>
      <c r="L720" s="2552">
        <v>3</v>
      </c>
      <c r="M720" s="2552">
        <v>4</v>
      </c>
    </row>
    <row r="721" spans="1:13">
      <c r="B721" s="683" t="s">
        <v>1865</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9</v>
      </c>
      <c r="K721" s="2550">
        <f>'Part V-Utility Allowances'!K12</f>
        <v>11</v>
      </c>
      <c r="L721" s="2550">
        <f>'Part V-Utility Allowances'!L12</f>
        <v>16</v>
      </c>
      <c r="M721" s="2550">
        <f>'Part V-Utility Allowances'!M12</f>
        <v>0</v>
      </c>
    </row>
    <row r="722" spans="1:13">
      <c r="B722" s="683" t="s">
        <v>1608</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8</v>
      </c>
      <c r="K722" s="2550">
        <f>'Part V-Utility Allowances'!K13</f>
        <v>10</v>
      </c>
      <c r="L722" s="2550">
        <f>'Part V-Utility Allowances'!L13</f>
        <v>12</v>
      </c>
      <c r="M722" s="2550">
        <f>'Part V-Utility Allowances'!M13</f>
        <v>0</v>
      </c>
    </row>
    <row r="723" spans="1:13">
      <c r="B723" s="683" t="s">
        <v>1609</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19</v>
      </c>
      <c r="L723" s="2550">
        <f>'Part V-Utility Allowances'!L14</f>
        <v>24</v>
      </c>
      <c r="M723" s="2550">
        <f>'Part V-Utility Allowances'!M14</f>
        <v>0</v>
      </c>
    </row>
    <row r="724" spans="1:13">
      <c r="B724" s="683" t="s">
        <v>471</v>
      </c>
      <c r="D724" s="683" t="s">
        <v>1607</v>
      </c>
      <c r="F724" s="2553" t="str">
        <f>'Part V-Utility Allowances'!F15</f>
        <v>X</v>
      </c>
      <c r="G724" s="2553">
        <f>'Part V-Utility Allowances'!G15</f>
        <v>0</v>
      </c>
      <c r="I724" s="2550">
        <f>'Part V-Utility Allowances'!I15</f>
        <v>0</v>
      </c>
      <c r="J724" s="2550">
        <f>'Part V-Utility Allowances'!J15</f>
        <v>7</v>
      </c>
      <c r="K724" s="2550">
        <f>'Part V-Utility Allowances'!K15</f>
        <v>9</v>
      </c>
      <c r="L724" s="2550">
        <f>'Part V-Utility Allowances'!L15</f>
        <v>12</v>
      </c>
      <c r="M724" s="2550">
        <f>'Part V-Utility Allowances'!M15</f>
        <v>0</v>
      </c>
    </row>
    <row r="725" spans="1:13">
      <c r="B725" s="683" t="s">
        <v>3833</v>
      </c>
      <c r="D725" s="683" t="s">
        <v>1607</v>
      </c>
      <c r="F725" s="2553" t="str">
        <f>'Part V-Utility Allowances'!F16</f>
        <v>X</v>
      </c>
      <c r="G725" s="2553">
        <f>'Part V-Utility Allowances'!G16</f>
        <v>0</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3834</v>
      </c>
      <c r="D726" s="683" t="s">
        <v>1607</v>
      </c>
      <c r="F726" s="2553">
        <f>'Part V-Utility Allowances'!F17</f>
        <v>0</v>
      </c>
      <c r="G726" s="2553">
        <f>'Part V-Utility Allowances'!G17</f>
        <v>0</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3835</v>
      </c>
      <c r="D727" s="683" t="s">
        <v>1607</v>
      </c>
      <c r="F727" s="2553" t="str">
        <f>'Part V-Utility Allowances'!F18</f>
        <v>X</v>
      </c>
      <c r="G727" s="2553">
        <f>'Part V-Utility Allowances'!G18</f>
        <v>0</v>
      </c>
      <c r="I727" s="2550">
        <f>'Part V-Utility Allowances'!I18</f>
        <v>0</v>
      </c>
      <c r="J727" s="2550">
        <f>'Part V-Utility Allowances'!J18</f>
        <v>22</v>
      </c>
      <c r="K727" s="2550">
        <f>'Part V-Utility Allowances'!K18</f>
        <v>28</v>
      </c>
      <c r="L727" s="2550">
        <f>'Part V-Utility Allowances'!L18</f>
        <v>34</v>
      </c>
      <c r="M727" s="2550">
        <f>'Part V-Utility Allowances'!M18</f>
        <v>0</v>
      </c>
    </row>
    <row r="728" spans="1:13">
      <c r="B728" s="683" t="s">
        <v>1381</v>
      </c>
      <c r="D728" s="683" t="s">
        <v>4547</v>
      </c>
      <c r="E728" s="2550" t="str">
        <f>'Part V-Utility Allowances'!E19</f>
        <v>Yes</v>
      </c>
      <c r="F728" s="2553">
        <f>'Part V-Utility Allowances'!F19</f>
        <v>0</v>
      </c>
      <c r="G728" s="2553" t="str">
        <f>'Part V-Utility Allowances'!G19</f>
        <v>X</v>
      </c>
      <c r="I728" s="2550">
        <f>'Part V-Utility Allowances'!I19</f>
        <v>0</v>
      </c>
      <c r="J728" s="2550">
        <f>'Part V-Utility Allowances'!J19</f>
        <v>0</v>
      </c>
      <c r="K728" s="2550">
        <f>'Part V-Utility Allowances'!K19</f>
        <v>0</v>
      </c>
      <c r="L728" s="2550">
        <f>'Part V-Utility Allowances'!L19</f>
        <v>0</v>
      </c>
      <c r="M728" s="2550">
        <f>'Part V-Utility Allowances'!M19</f>
        <v>0</v>
      </c>
    </row>
    <row r="729" spans="1:13">
      <c r="B729" s="683" t="s">
        <v>1864</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1029</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60</v>
      </c>
      <c r="K730" s="2552">
        <f>IF(SUM(K721:K729)=0,0,IF(OR($D721="&lt;&lt;Select Fuel &gt;&gt;",$D722="&lt;&lt;Select Fuel &gt;&gt;",$D723="&lt;&lt;Select Fuel &gt;&gt;"),"Select Fuel",IF($E728="&lt;Select&gt;","Submeter?",SUM(K721:K729))))</f>
        <v>77</v>
      </c>
      <c r="L730" s="2552">
        <f>IF(SUM(L721:L729)=0,0,IF(OR($D721="&lt;&lt;Select Fuel &gt;&gt;",$D722="&lt;&lt;Select Fuel &gt;&gt;",$D723="&lt;&lt;Select Fuel &gt;&gt;"),"Select Fuel",IF($E728="&lt;Select&gt;","Submeter?",SUM(L721:L729))))</f>
        <v>98</v>
      </c>
      <c r="M730" s="2552">
        <f>IF(SUM(M721:M729)=0,0,IF(OR($D721="&lt;&lt;Select Fuel &gt;&gt;",$D722="&lt;&lt;Select Fuel &gt;&gt;",$D723="&lt;&lt;Select Fuel &gt;&gt;"),"Select Fuel",IF($E728="&lt;Select&gt;","Submeter?",SUM(M721:M729))))</f>
        <v>0</v>
      </c>
    </row>
    <row r="732" spans="1:13">
      <c r="A732" s="2547" t="s">
        <v>747</v>
      </c>
      <c r="B732" s="2547" t="s">
        <v>2243</v>
      </c>
      <c r="F732" s="683" t="s">
        <v>2535</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641</v>
      </c>
      <c r="I733" s="2549">
        <f>'Part V-Utility Allowances'!I24</f>
        <v>0</v>
      </c>
      <c r="J733" s="2549">
        <f>'Part V-Utility Allowances'!J24</f>
        <v>0</v>
      </c>
      <c r="K733" s="2550" t="s">
        <v>544</v>
      </c>
      <c r="L733" s="2442">
        <f>'Part V-Utility Allowances'!L24</f>
        <v>0</v>
      </c>
      <c r="M733" s="2442">
        <f>'Part V-Utility Allowances'!M24</f>
        <v>0</v>
      </c>
    </row>
    <row r="734" spans="1:13">
      <c r="A734" s="2547"/>
    </row>
    <row r="735" spans="1:13">
      <c r="A735" s="2547"/>
      <c r="B735" s="2547"/>
      <c r="C735" s="2547"/>
      <c r="D735" s="2547"/>
      <c r="E735" s="2547"/>
      <c r="F735" s="2551" t="s">
        <v>614</v>
      </c>
      <c r="G735" s="2551"/>
      <c r="H735" s="2547"/>
      <c r="I735" s="2551" t="s">
        <v>202</v>
      </c>
      <c r="J735" s="2551"/>
      <c r="K735" s="2551"/>
      <c r="L735" s="2551"/>
      <c r="M735" s="2551"/>
    </row>
    <row r="736" spans="1:13">
      <c r="A736" s="2547"/>
      <c r="B736" s="2547" t="s">
        <v>805</v>
      </c>
      <c r="C736" s="2547"/>
      <c r="D736" s="2547" t="s">
        <v>1610</v>
      </c>
      <c r="E736" s="2547"/>
      <c r="F736" s="2552" t="s">
        <v>647</v>
      </c>
      <c r="G736" s="2552" t="s">
        <v>1863</v>
      </c>
      <c r="H736" s="2547"/>
      <c r="I736" s="2552" t="s">
        <v>572</v>
      </c>
      <c r="J736" s="2552">
        <v>1</v>
      </c>
      <c r="K736" s="2552">
        <v>2</v>
      </c>
      <c r="L736" s="2552">
        <v>3</v>
      </c>
      <c r="M736" s="2552">
        <v>4</v>
      </c>
    </row>
    <row r="737" spans="1:13">
      <c r="B737" s="683" t="s">
        <v>1865</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1608</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1609</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1607</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3833</v>
      </c>
      <c r="D741" s="683" t="s">
        <v>1607</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3834</v>
      </c>
      <c r="D742" s="683" t="s">
        <v>1607</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3835</v>
      </c>
      <c r="D743" s="683" t="s">
        <v>1607</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1381</v>
      </c>
      <c r="D744" s="683" t="s">
        <v>4547</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1864</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1029</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4548</v>
      </c>
      <c r="F748" s="2550"/>
      <c r="G748" s="2550"/>
      <c r="I748" s="2552"/>
      <c r="J748" s="2552"/>
      <c r="K748" s="2552"/>
      <c r="L748" s="2552"/>
      <c r="M748" s="2552"/>
    </row>
    <row r="749" spans="1:13">
      <c r="A749" s="2547"/>
      <c r="B749" s="2547" t="s">
        <v>576</v>
      </c>
    </row>
    <row r="750" spans="1:13" ht="96">
      <c r="B750" s="1329" t="str">
        <f>'Part V-Utility Allowances'!B41</f>
        <v>The property is in the Northern portion of the DCA utility allowance map.</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1858</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2018-032 Hillcrest Apartments,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2018-032 Hillcrest Apartments,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621</v>
      </c>
      <c r="B760" s="2544" t="s">
        <v>2381</v>
      </c>
      <c r="D760" s="2357" t="s">
        <v>3592</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489</v>
      </c>
      <c r="FC760" s="2555" t="s">
        <v>2455</v>
      </c>
      <c r="FD760" s="2555" t="s">
        <v>2456</v>
      </c>
      <c r="FE760" s="2555" t="s">
        <v>2457</v>
      </c>
      <c r="FF760" s="2555" t="s">
        <v>2458</v>
      </c>
      <c r="FG760" s="2555" t="s">
        <v>489</v>
      </c>
      <c r="FH760" s="2555" t="s">
        <v>2455</v>
      </c>
      <c r="FI760" s="2555" t="s">
        <v>2456</v>
      </c>
      <c r="FJ760" s="2555" t="s">
        <v>2457</v>
      </c>
      <c r="FK760" s="2555" t="s">
        <v>2458</v>
      </c>
      <c r="FL760" s="2557"/>
      <c r="FM760" s="2557"/>
      <c r="FN760" s="2557"/>
      <c r="FO760" s="2557"/>
      <c r="FP760" s="2557"/>
      <c r="FQ760" s="2557"/>
      <c r="FR760" s="2557"/>
      <c r="FS760" s="2557"/>
      <c r="FT760" s="2557"/>
      <c r="FU760" s="2557"/>
      <c r="FV760" s="2555" t="s">
        <v>489</v>
      </c>
      <c r="FW760" s="2555" t="s">
        <v>2455</v>
      </c>
      <c r="FX760" s="2555" t="s">
        <v>2456</v>
      </c>
      <c r="FY760" s="2555" t="s">
        <v>2457</v>
      </c>
      <c r="FZ760" s="2555" t="s">
        <v>2458</v>
      </c>
      <c r="GA760" s="2555" t="s">
        <v>489</v>
      </c>
      <c r="GB760" s="2555" t="s">
        <v>2455</v>
      </c>
      <c r="GC760" s="2555" t="s">
        <v>2456</v>
      </c>
      <c r="GD760" s="2555" t="s">
        <v>2457</v>
      </c>
      <c r="GE760" s="2555" t="s">
        <v>2458</v>
      </c>
      <c r="GF760" s="2555" t="s">
        <v>489</v>
      </c>
      <c r="GG760" s="2555" t="s">
        <v>2455</v>
      </c>
      <c r="GH760" s="2555" t="s">
        <v>2456</v>
      </c>
      <c r="GI760" s="2555" t="s">
        <v>2457</v>
      </c>
      <c r="GJ760" s="2555" t="s">
        <v>2458</v>
      </c>
      <c r="GK760" s="2555" t="s">
        <v>489</v>
      </c>
      <c r="GL760" s="2555" t="s">
        <v>2455</v>
      </c>
      <c r="GM760" s="2555" t="s">
        <v>2456</v>
      </c>
      <c r="GN760" s="2555" t="s">
        <v>2457</v>
      </c>
      <c r="GO760" s="2555" t="s">
        <v>2458</v>
      </c>
      <c r="GP760" s="2555" t="s">
        <v>489</v>
      </c>
      <c r="GQ760" s="2555" t="s">
        <v>2455</v>
      </c>
      <c r="GR760" s="2555" t="s">
        <v>2456</v>
      </c>
      <c r="GS760" s="2555" t="s">
        <v>2457</v>
      </c>
      <c r="GT760" s="2555" t="s">
        <v>2458</v>
      </c>
      <c r="GU760" s="2555" t="s">
        <v>489</v>
      </c>
      <c r="GV760" s="2555" t="s">
        <v>2455</v>
      </c>
      <c r="GW760" s="2555" t="s">
        <v>2456</v>
      </c>
      <c r="GX760" s="2555" t="s">
        <v>2457</v>
      </c>
      <c r="GY760" s="2555" t="s">
        <v>2458</v>
      </c>
      <c r="GZ760" s="2555" t="s">
        <v>489</v>
      </c>
      <c r="HA760" s="2555" t="s">
        <v>2455</v>
      </c>
      <c r="HB760" s="2555" t="s">
        <v>2456</v>
      </c>
      <c r="HC760" s="2555" t="s">
        <v>2457</v>
      </c>
      <c r="HD760" s="2555" t="s">
        <v>2458</v>
      </c>
      <c r="HE760" s="2555" t="s">
        <v>489</v>
      </c>
      <c r="HF760" s="2555" t="s">
        <v>2455</v>
      </c>
      <c r="HG760" s="2555" t="s">
        <v>2456</v>
      </c>
      <c r="HH760" s="2555" t="s">
        <v>2457</v>
      </c>
      <c r="HI760" s="2555" t="s">
        <v>2458</v>
      </c>
      <c r="HJ760" s="2555" t="s">
        <v>489</v>
      </c>
      <c r="HK760" s="2555" t="s">
        <v>2455</v>
      </c>
      <c r="HL760" s="2555" t="s">
        <v>2456</v>
      </c>
      <c r="HM760" s="2555" t="s">
        <v>2457</v>
      </c>
      <c r="HN760" s="2555" t="s">
        <v>2458</v>
      </c>
      <c r="HO760" s="2555" t="s">
        <v>489</v>
      </c>
      <c r="HP760" s="2555" t="s">
        <v>2455</v>
      </c>
      <c r="HQ760" s="2555" t="s">
        <v>2456</v>
      </c>
      <c r="HR760" s="2555" t="s">
        <v>2457</v>
      </c>
      <c r="HS760" s="2555" t="s">
        <v>2458</v>
      </c>
      <c r="HT760" s="2555" t="s">
        <v>489</v>
      </c>
      <c r="HU760" s="2555" t="s">
        <v>2455</v>
      </c>
      <c r="HV760" s="2555" t="s">
        <v>2456</v>
      </c>
      <c r="HW760" s="2555" t="s">
        <v>2457</v>
      </c>
      <c r="HX760" s="2555" t="s">
        <v>2458</v>
      </c>
      <c r="HY760" s="2555" t="s">
        <v>489</v>
      </c>
      <c r="HZ760" s="2555" t="s">
        <v>2455</v>
      </c>
      <c r="IA760" s="2555" t="s">
        <v>2456</v>
      </c>
      <c r="IB760" s="2555" t="s">
        <v>2457</v>
      </c>
      <c r="IC760" s="2555" t="s">
        <v>2458</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3444</v>
      </c>
      <c r="JD760" s="2548" t="s">
        <v>3445</v>
      </c>
      <c r="JE760" s="2548" t="s">
        <v>3446</v>
      </c>
      <c r="JF760" s="2548" t="s">
        <v>3447</v>
      </c>
      <c r="JG760" s="2548" t="s">
        <v>3448</v>
      </c>
    </row>
    <row r="761" spans="1:277" s="2355" customFormat="1" ht="3" customHeight="1">
      <c r="B761" s="2544"/>
      <c r="D761" s="2544"/>
      <c r="P761" s="2558" t="s">
        <v>4763</v>
      </c>
      <c r="Q761" s="2559"/>
      <c r="R761" s="2560"/>
      <c r="S761" s="2560"/>
      <c r="T761" s="2560"/>
      <c r="U761" s="2560"/>
      <c r="W761" s="2478" t="s">
        <v>927</v>
      </c>
      <c r="X761" s="2478" t="s">
        <v>763</v>
      </c>
      <c r="Y761" s="2478" t="s">
        <v>764</v>
      </c>
      <c r="Z761" s="2478" t="s">
        <v>765</v>
      </c>
      <c r="AA761" s="2478" t="s">
        <v>766</v>
      </c>
      <c r="AB761" s="2478" t="s">
        <v>928</v>
      </c>
      <c r="AC761" s="2478" t="s">
        <v>2325</v>
      </c>
      <c r="AD761" s="2478" t="s">
        <v>2326</v>
      </c>
      <c r="AE761" s="2478" t="s">
        <v>2327</v>
      </c>
      <c r="AF761" s="2478" t="s">
        <v>2328</v>
      </c>
      <c r="AG761" s="2478" t="s">
        <v>929</v>
      </c>
      <c r="AH761" s="2478" t="s">
        <v>2329</v>
      </c>
      <c r="AI761" s="2478" t="s">
        <v>2330</v>
      </c>
      <c r="AJ761" s="2478" t="s">
        <v>2331</v>
      </c>
      <c r="AK761" s="2478" t="s">
        <v>2332</v>
      </c>
      <c r="AL761" s="2478" t="s">
        <v>130</v>
      </c>
      <c r="AM761" s="2478" t="s">
        <v>2333</v>
      </c>
      <c r="AN761" s="2478" t="s">
        <v>2334</v>
      </c>
      <c r="AO761" s="2478" t="s">
        <v>2335</v>
      </c>
      <c r="AP761" s="2478" t="s">
        <v>1157</v>
      </c>
      <c r="AQ761" s="2478" t="s">
        <v>560</v>
      </c>
      <c r="AR761" s="2478" t="s">
        <v>561</v>
      </c>
      <c r="AS761" s="2478" t="s">
        <v>581</v>
      </c>
      <c r="AT761" s="2478" t="s">
        <v>582</v>
      </c>
      <c r="AU761" s="2478" t="s">
        <v>583</v>
      </c>
      <c r="AV761" s="2478" t="s">
        <v>584</v>
      </c>
      <c r="AW761" s="2478" t="s">
        <v>585</v>
      </c>
      <c r="AX761" s="2478" t="s">
        <v>586</v>
      </c>
      <c r="AY761" s="2478" t="s">
        <v>587</v>
      </c>
      <c r="AZ761" s="2478" t="s">
        <v>588</v>
      </c>
      <c r="BA761" s="2478" t="s">
        <v>589</v>
      </c>
      <c r="BB761" s="2478" t="s">
        <v>590</v>
      </c>
      <c r="BC761" s="2478" t="s">
        <v>939</v>
      </c>
      <c r="BD761" s="2478" t="s">
        <v>940</v>
      </c>
      <c r="BE761" s="2478" t="s">
        <v>941</v>
      </c>
      <c r="BF761" s="2478" t="s">
        <v>500</v>
      </c>
      <c r="BG761" s="2478" t="s">
        <v>501</v>
      </c>
      <c r="BH761" s="2478" t="s">
        <v>502</v>
      </c>
      <c r="BI761" s="2478" t="s">
        <v>503</v>
      </c>
      <c r="BJ761" s="2478" t="s">
        <v>504</v>
      </c>
      <c r="BK761" s="2478" t="s">
        <v>888</v>
      </c>
      <c r="BL761" s="2478" t="s">
        <v>889</v>
      </c>
      <c r="BM761" s="2478" t="s">
        <v>890</v>
      </c>
      <c r="BN761" s="2478" t="s">
        <v>891</v>
      </c>
      <c r="BO761" s="2478" t="s">
        <v>892</v>
      </c>
      <c r="BP761" s="2478" t="s">
        <v>893</v>
      </c>
      <c r="BQ761" s="2478" t="s">
        <v>894</v>
      </c>
      <c r="BR761" s="2478" t="s">
        <v>895</v>
      </c>
      <c r="BS761" s="2478" t="s">
        <v>896</v>
      </c>
      <c r="BT761" s="2478" t="s">
        <v>897</v>
      </c>
      <c r="BU761" s="2478" t="s">
        <v>2445</v>
      </c>
      <c r="BV761" s="2478" t="s">
        <v>2446</v>
      </c>
      <c r="BW761" s="2478" t="s">
        <v>2447</v>
      </c>
      <c r="BX761" s="2478" t="s">
        <v>2448</v>
      </c>
      <c r="BY761" s="2478" t="s">
        <v>2449</v>
      </c>
      <c r="BZ761" s="2478" t="s">
        <v>118</v>
      </c>
      <c r="CA761" s="2478" t="s">
        <v>1160</v>
      </c>
      <c r="CB761" s="2478" t="s">
        <v>1161</v>
      </c>
      <c r="CC761" s="2478" t="s">
        <v>1224</v>
      </c>
      <c r="CD761" s="2478" t="s">
        <v>1225</v>
      </c>
      <c r="CE761" s="2548" t="s">
        <v>133</v>
      </c>
      <c r="CF761" s="2548" t="s">
        <v>1226</v>
      </c>
      <c r="CG761" s="2548" t="s">
        <v>1227</v>
      </c>
      <c r="CH761" s="2548" t="s">
        <v>1228</v>
      </c>
      <c r="CI761" s="2548" t="s">
        <v>1229</v>
      </c>
      <c r="CJ761" s="2548" t="s">
        <v>132</v>
      </c>
      <c r="CK761" s="2548" t="s">
        <v>919</v>
      </c>
      <c r="CL761" s="2548" t="s">
        <v>920</v>
      </c>
      <c r="CM761" s="2548" t="s">
        <v>921</v>
      </c>
      <c r="CN761" s="2548" t="s">
        <v>922</v>
      </c>
      <c r="CO761" s="2548" t="s">
        <v>131</v>
      </c>
      <c r="CP761" s="2548" t="s">
        <v>923</v>
      </c>
      <c r="CQ761" s="2548" t="s">
        <v>924</v>
      </c>
      <c r="CR761" s="2548" t="s">
        <v>925</v>
      </c>
      <c r="CS761" s="2548" t="s">
        <v>926</v>
      </c>
      <c r="CT761" s="2548" t="s">
        <v>816</v>
      </c>
      <c r="CU761" s="2548" t="s">
        <v>817</v>
      </c>
      <c r="CV761" s="2548" t="s">
        <v>818</v>
      </c>
      <c r="CW761" s="2548" t="s">
        <v>819</v>
      </c>
      <c r="CX761" s="2548" t="s">
        <v>820</v>
      </c>
      <c r="CY761" s="2548" t="s">
        <v>965</v>
      </c>
      <c r="CZ761" s="2548" t="s">
        <v>966</v>
      </c>
      <c r="DA761" s="2548" t="s">
        <v>967</v>
      </c>
      <c r="DB761" s="2548" t="s">
        <v>968</v>
      </c>
      <c r="DC761" s="2548" t="s">
        <v>2444</v>
      </c>
      <c r="DD761" s="2548" t="s">
        <v>1444</v>
      </c>
      <c r="DE761" s="2548" t="s">
        <v>1445</v>
      </c>
      <c r="DF761" s="2548" t="s">
        <v>1446</v>
      </c>
      <c r="DG761" s="2548" t="s">
        <v>1447</v>
      </c>
      <c r="DH761" s="2548" t="s">
        <v>1448</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1823</v>
      </c>
      <c r="DW761" s="2548" t="s">
        <v>1824</v>
      </c>
      <c r="DX761" s="2548" t="s">
        <v>1825</v>
      </c>
      <c r="DY761" s="2548" t="s">
        <v>597</v>
      </c>
      <c r="DZ761" s="2548" t="s">
        <v>598</v>
      </c>
      <c r="EA761" s="2548" t="s">
        <v>599</v>
      </c>
      <c r="EB761" s="2548" t="s">
        <v>600</v>
      </c>
      <c r="EC761" s="2548" t="s">
        <v>22</v>
      </c>
      <c r="ED761" s="2548" t="s">
        <v>23</v>
      </c>
      <c r="EE761" s="2548" t="s">
        <v>24</v>
      </c>
      <c r="EF761" s="2548" t="s">
        <v>25</v>
      </c>
      <c r="EG761" s="2548" t="s">
        <v>26</v>
      </c>
      <c r="EH761" s="2548" t="s">
        <v>499</v>
      </c>
      <c r="EI761" s="2548" t="s">
        <v>434</v>
      </c>
      <c r="EJ761" s="2548" t="s">
        <v>435</v>
      </c>
      <c r="EK761" s="2548" t="s">
        <v>436</v>
      </c>
      <c r="EL761" s="2548" t="s">
        <v>437</v>
      </c>
      <c r="EM761" s="2548" t="s">
        <v>2223</v>
      </c>
      <c r="EN761" s="2548" t="s">
        <v>2224</v>
      </c>
      <c r="EO761" s="2548" t="s">
        <v>2225</v>
      </c>
      <c r="EP761" s="2548" t="s">
        <v>1490</v>
      </c>
      <c r="EQ761" s="2548" t="s">
        <v>1491</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1636</v>
      </c>
      <c r="IE761" s="2548" t="s">
        <v>2539</v>
      </c>
      <c r="IF761" s="2548" t="s">
        <v>2540</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1859</v>
      </c>
      <c r="E762" s="2544"/>
      <c r="G762" s="2554">
        <f>'Part VI-Revenues &amp; Expenses'!G5</f>
        <v>0</v>
      </c>
      <c r="H762" s="2544"/>
      <c r="I762" s="2562" t="s">
        <v>805</v>
      </c>
      <c r="J762" s="2562" t="s">
        <v>3587</v>
      </c>
      <c r="K762" s="2560"/>
      <c r="L762" s="2560"/>
      <c r="M762" s="2545" t="s">
        <v>580</v>
      </c>
      <c r="O762" s="2563" t="s">
        <v>1044</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3439</v>
      </c>
      <c r="JI762" s="2560" t="s">
        <v>3440</v>
      </c>
      <c r="JJ762" s="2560" t="s">
        <v>3441</v>
      </c>
      <c r="JK762" s="2560" t="s">
        <v>3442</v>
      </c>
      <c r="JL762" s="2560" t="s">
        <v>3443</v>
      </c>
      <c r="JM762" s="2548" t="s">
        <v>3453</v>
      </c>
      <c r="JN762" s="2548" t="s">
        <v>3455</v>
      </c>
      <c r="JO762" s="2548" t="s">
        <v>3456</v>
      </c>
      <c r="JP762" s="2548" t="s">
        <v>3457</v>
      </c>
      <c r="JQ762" s="2548" t="s">
        <v>3458</v>
      </c>
    </row>
    <row r="763" spans="1:277" s="2355" customFormat="1" ht="13.15" customHeight="1">
      <c r="A763" s="2561"/>
      <c r="B763" s="2564" t="s">
        <v>1817</v>
      </c>
      <c r="E763" s="2544"/>
      <c r="F763" s="2550">
        <f>'Part VI-Revenues &amp; Expenses'!F6</f>
        <v>0</v>
      </c>
      <c r="G763" s="2562" t="s">
        <v>3691</v>
      </c>
      <c r="H763" s="2558" t="s">
        <v>3924</v>
      </c>
      <c r="I763" s="2562" t="s">
        <v>806</v>
      </c>
      <c r="J763" s="2562" t="s">
        <v>3694</v>
      </c>
      <c r="K763" s="2560"/>
      <c r="L763" s="2560"/>
      <c r="M763" s="2565" t="str">
        <f>'Part I-Project Information'!$O$40</f>
        <v>Laurens Co.</v>
      </c>
      <c r="N763" s="2565"/>
      <c r="O763" s="2566">
        <f>VLOOKUP('Part I-Project Information'!$O$40,'DCA Underwriting Assumptions'!$C$155:$D$265,2)</f>
        <v>44200</v>
      </c>
      <c r="P763" s="2558"/>
      <c r="Q763" s="2559"/>
      <c r="S763" s="2544" t="s">
        <v>2714</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3692</v>
      </c>
      <c r="H764" s="2558"/>
      <c r="I764" s="2518" t="s">
        <v>3882</v>
      </c>
      <c r="J764" s="2562" t="s">
        <v>3695</v>
      </c>
      <c r="K764" s="2560"/>
      <c r="L764" s="2560"/>
      <c r="P764" s="2558"/>
      <c r="Q764" s="2559"/>
      <c r="R764" s="2560"/>
      <c r="S764" s="2567"/>
      <c r="T764" s="2568" t="s">
        <v>2711</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1489</v>
      </c>
      <c r="C765" s="2562" t="s">
        <v>173</v>
      </c>
      <c r="D765" s="2562" t="s">
        <v>549</v>
      </c>
      <c r="E765" s="2562" t="s">
        <v>1487</v>
      </c>
      <c r="F765" s="2562" t="s">
        <v>1487</v>
      </c>
      <c r="G765" s="2562" t="s">
        <v>1489</v>
      </c>
      <c r="H765" s="2562" t="s">
        <v>3692</v>
      </c>
      <c r="I765" s="2518"/>
      <c r="J765" s="2562" t="s">
        <v>4764</v>
      </c>
      <c r="K765" s="2570" t="s">
        <v>146</v>
      </c>
      <c r="L765" s="2570"/>
      <c r="M765" s="2562" t="s">
        <v>2382</v>
      </c>
      <c r="N765" s="2562" t="s">
        <v>536</v>
      </c>
      <c r="O765" s="2562" t="s">
        <v>385</v>
      </c>
      <c r="P765" s="2558"/>
      <c r="Q765" s="2570" t="s">
        <v>3597</v>
      </c>
      <c r="R765" s="2570"/>
      <c r="S765" s="2562" t="s">
        <v>2710</v>
      </c>
      <c r="T765" s="2562" t="s">
        <v>2712</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1473</v>
      </c>
      <c r="EX765" s="2550" t="s">
        <v>2455</v>
      </c>
      <c r="EY765" s="2550" t="s">
        <v>2456</v>
      </c>
      <c r="EZ765" s="2550" t="s">
        <v>2457</v>
      </c>
      <c r="FA765" s="2550" t="s">
        <v>2458</v>
      </c>
      <c r="FB765" s="2548" t="s">
        <v>2512</v>
      </c>
      <c r="FC765" s="2548" t="s">
        <v>2512</v>
      </c>
      <c r="FD765" s="2548" t="s">
        <v>2512</v>
      </c>
      <c r="FE765" s="2548" t="s">
        <v>2512</v>
      </c>
      <c r="FF765" s="2548" t="s">
        <v>2512</v>
      </c>
      <c r="FG765" s="2548" t="s">
        <v>3387</v>
      </c>
      <c r="FH765" s="2548" t="s">
        <v>3387</v>
      </c>
      <c r="FI765" s="2548" t="s">
        <v>3387</v>
      </c>
      <c r="FJ765" s="2548" t="s">
        <v>3387</v>
      </c>
      <c r="FK765" s="2548" t="s">
        <v>3387</v>
      </c>
      <c r="FL765" s="2550" t="s">
        <v>572</v>
      </c>
      <c r="FM765" s="2550" t="s">
        <v>2455</v>
      </c>
      <c r="FN765" s="2550" t="s">
        <v>2456</v>
      </c>
      <c r="FO765" s="2550" t="s">
        <v>2457</v>
      </c>
      <c r="FP765" s="2550" t="s">
        <v>2458</v>
      </c>
      <c r="FQ765" s="2550" t="s">
        <v>572</v>
      </c>
      <c r="FR765" s="2550" t="s">
        <v>2455</v>
      </c>
      <c r="FS765" s="2550" t="s">
        <v>2456</v>
      </c>
      <c r="FT765" s="2550" t="s">
        <v>2457</v>
      </c>
      <c r="FU765" s="2550" t="s">
        <v>2458</v>
      </c>
      <c r="FV765" s="2548" t="s">
        <v>2514</v>
      </c>
      <c r="FW765" s="2548" t="s">
        <v>2514</v>
      </c>
      <c r="FX765" s="2548" t="s">
        <v>2514</v>
      </c>
      <c r="FY765" s="2548" t="s">
        <v>2514</v>
      </c>
      <c r="FZ765" s="2548" t="s">
        <v>2514</v>
      </c>
      <c r="GA765" s="2548" t="s">
        <v>3383</v>
      </c>
      <c r="GB765" s="2548" t="s">
        <v>3383</v>
      </c>
      <c r="GC765" s="2548" t="s">
        <v>3383</v>
      </c>
      <c r="GD765" s="2548" t="s">
        <v>3383</v>
      </c>
      <c r="GE765" s="2548" t="s">
        <v>3383</v>
      </c>
      <c r="GF765" s="2548" t="s">
        <v>360</v>
      </c>
      <c r="GG765" s="2548" t="s">
        <v>360</v>
      </c>
      <c r="GH765" s="2548" t="s">
        <v>360</v>
      </c>
      <c r="GI765" s="2548" t="s">
        <v>360</v>
      </c>
      <c r="GJ765" s="2548" t="s">
        <v>360</v>
      </c>
      <c r="GK765" s="2548" t="s">
        <v>3382</v>
      </c>
      <c r="GL765" s="2548" t="s">
        <v>3382</v>
      </c>
      <c r="GM765" s="2548" t="s">
        <v>3382</v>
      </c>
      <c r="GN765" s="2548" t="s">
        <v>3382</v>
      </c>
      <c r="GO765" s="2548" t="s">
        <v>3382</v>
      </c>
      <c r="GP765" s="2548" t="s">
        <v>361</v>
      </c>
      <c r="GQ765" s="2548" t="s">
        <v>361</v>
      </c>
      <c r="GR765" s="2548" t="s">
        <v>361</v>
      </c>
      <c r="GS765" s="2548" t="s">
        <v>361</v>
      </c>
      <c r="GT765" s="2548" t="s">
        <v>361</v>
      </c>
      <c r="GU765" s="2548" t="s">
        <v>3381</v>
      </c>
      <c r="GV765" s="2548" t="s">
        <v>3381</v>
      </c>
      <c r="GW765" s="2548" t="s">
        <v>3381</v>
      </c>
      <c r="GX765" s="2548" t="s">
        <v>3381</v>
      </c>
      <c r="GY765" s="2548" t="s">
        <v>3381</v>
      </c>
      <c r="GZ765" s="2548" t="s">
        <v>362</v>
      </c>
      <c r="HA765" s="2548" t="s">
        <v>362</v>
      </c>
      <c r="HB765" s="2548" t="s">
        <v>362</v>
      </c>
      <c r="HC765" s="2548" t="s">
        <v>362</v>
      </c>
      <c r="HD765" s="2548" t="s">
        <v>362</v>
      </c>
      <c r="HE765" s="2548" t="s">
        <v>3384</v>
      </c>
      <c r="HF765" s="2548" t="s">
        <v>3384</v>
      </c>
      <c r="HG765" s="2548" t="s">
        <v>3384</v>
      </c>
      <c r="HH765" s="2548" t="s">
        <v>3384</v>
      </c>
      <c r="HI765" s="2548" t="s">
        <v>3384</v>
      </c>
      <c r="HJ765" s="2548" t="s">
        <v>363</v>
      </c>
      <c r="HK765" s="2548" t="s">
        <v>363</v>
      </c>
      <c r="HL765" s="2548" t="s">
        <v>363</v>
      </c>
      <c r="HM765" s="2548" t="s">
        <v>363</v>
      </c>
      <c r="HN765" s="2548" t="s">
        <v>363</v>
      </c>
      <c r="HO765" s="2548" t="s">
        <v>3385</v>
      </c>
      <c r="HP765" s="2548" t="s">
        <v>3385</v>
      </c>
      <c r="HQ765" s="2548" t="s">
        <v>3385</v>
      </c>
      <c r="HR765" s="2548" t="s">
        <v>3385</v>
      </c>
      <c r="HS765" s="2548" t="s">
        <v>3385</v>
      </c>
      <c r="HT765" s="2548" t="s">
        <v>1472</v>
      </c>
      <c r="HU765" s="2548" t="s">
        <v>1472</v>
      </c>
      <c r="HV765" s="2548" t="s">
        <v>1472</v>
      </c>
      <c r="HW765" s="2548" t="s">
        <v>1472</v>
      </c>
      <c r="HX765" s="2548" t="s">
        <v>1472</v>
      </c>
      <c r="HY765" s="2548" t="s">
        <v>3386</v>
      </c>
      <c r="HZ765" s="2548" t="s">
        <v>3386</v>
      </c>
      <c r="IA765" s="2548" t="s">
        <v>3386</v>
      </c>
      <c r="IB765" s="2548" t="s">
        <v>3386</v>
      </c>
      <c r="IC765" s="2548" t="s">
        <v>3386</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1307</v>
      </c>
      <c r="C766" s="2562" t="s">
        <v>172</v>
      </c>
      <c r="D766" s="2562" t="s">
        <v>174</v>
      </c>
      <c r="E766" s="2562" t="s">
        <v>1488</v>
      </c>
      <c r="F766" s="2562" t="s">
        <v>1290</v>
      </c>
      <c r="G766" s="2562" t="s">
        <v>3693</v>
      </c>
      <c r="H766" s="2562" t="s">
        <v>1489</v>
      </c>
      <c r="I766" s="2518"/>
      <c r="J766" s="2571" t="s">
        <v>352</v>
      </c>
      <c r="K766" s="2562" t="s">
        <v>1541</v>
      </c>
      <c r="L766" s="2562" t="s">
        <v>543</v>
      </c>
      <c r="M766" s="2562" t="s">
        <v>1487</v>
      </c>
      <c r="N766" s="2562" t="s">
        <v>3336</v>
      </c>
      <c r="O766" s="2562" t="s">
        <v>386</v>
      </c>
      <c r="P766" s="2558"/>
      <c r="Q766" s="2562" t="s">
        <v>3598</v>
      </c>
      <c r="R766" s="2562" t="s">
        <v>1049</v>
      </c>
      <c r="S766" s="2562" t="s">
        <v>1489</v>
      </c>
      <c r="T766" s="2562" t="s">
        <v>2713</v>
      </c>
      <c r="U766" s="2551" t="s">
        <v>1858</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2511</v>
      </c>
      <c r="EY766" s="2550" t="s">
        <v>2511</v>
      </c>
      <c r="EZ766" s="2550" t="s">
        <v>2511</v>
      </c>
      <c r="FA766" s="2550" t="s">
        <v>2511</v>
      </c>
      <c r="FB766" s="2548"/>
      <c r="FC766" s="2548"/>
      <c r="FD766" s="2548"/>
      <c r="FE766" s="2548"/>
      <c r="FF766" s="2548"/>
      <c r="FG766" s="2548"/>
      <c r="FH766" s="2548"/>
      <c r="FI766" s="2548"/>
      <c r="FJ766" s="2548"/>
      <c r="FK766" s="2548"/>
      <c r="FL766" s="2550" t="s">
        <v>2513</v>
      </c>
      <c r="FM766" s="2550" t="s">
        <v>2513</v>
      </c>
      <c r="FN766" s="2550" t="s">
        <v>2513</v>
      </c>
      <c r="FO766" s="2550" t="s">
        <v>2513</v>
      </c>
      <c r="FP766" s="2550" t="s">
        <v>2513</v>
      </c>
      <c r="FQ766" s="2550" t="s">
        <v>3388</v>
      </c>
      <c r="FR766" s="2550" t="s">
        <v>3388</v>
      </c>
      <c r="FS766" s="2550" t="s">
        <v>3388</v>
      </c>
      <c r="FT766" s="2550" t="s">
        <v>3388</v>
      </c>
      <c r="FU766" s="2550" t="s">
        <v>3388</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3</v>
      </c>
      <c r="F767" s="2575">
        <f>'Part VI-Revenues &amp; Expenses'!F10</f>
        <v>654</v>
      </c>
      <c r="G767" s="2575">
        <f>'Part VI-Revenues &amp; Expenses'!G10</f>
        <v>436</v>
      </c>
      <c r="H767" s="2575">
        <f>'Part VI-Revenues &amp; Expenses'!H10</f>
        <v>265</v>
      </c>
      <c r="I767" s="2575">
        <f>'Part VI-Revenues &amp; Expenses'!I10</f>
        <v>60</v>
      </c>
      <c r="J767" s="2576">
        <f>'Part VI-Revenues &amp; Expenses'!J10</f>
        <v>0</v>
      </c>
      <c r="K767" s="2577">
        <f t="shared" ref="K767:K804" si="2">MAX(0,H767-I767)</f>
        <v>205</v>
      </c>
      <c r="L767" s="2577">
        <f t="shared" ref="L767:L804" si="3">MAX(0,E767*K767)</f>
        <v>615</v>
      </c>
      <c r="M767" s="2451" t="str">
        <f>'Part VI-Revenues &amp; Expenses'!M10</f>
        <v>No</v>
      </c>
      <c r="N767" s="2451" t="str">
        <f>'Part VI-Revenues &amp; Expenses'!N10</f>
        <v>1-Story</v>
      </c>
      <c r="O767" s="2451" t="str">
        <f>'Part VI-Revenues &amp; Expenses'!O10</f>
        <v>Acquisition/Rehab</v>
      </c>
      <c r="P767" s="2557" t="str">
        <f>'Part VI-Revenues &amp; Expenses'!P10</f>
        <v>No</v>
      </c>
      <c r="Q767" s="2578">
        <f>'Part VI-Revenues &amp; Expenses'!Q10</f>
        <v>10600</v>
      </c>
      <c r="R767" s="2579">
        <f>'Part VI-Revenues &amp; Expenses'!R10</f>
        <v>0.31975867269984914</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3</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1962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3</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3</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f t="shared" ref="GQ767:GQ804" si="180">IF(AND($C767=1, $N767="1-Story",NOT($P767="Yes")),$E767,"")</f>
        <v>3</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3</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1</v>
      </c>
      <c r="E768" s="2575">
        <f>'Part VI-Revenues &amp; Expenses'!E11</f>
        <v>4</v>
      </c>
      <c r="F768" s="2575">
        <f>'Part VI-Revenues &amp; Expenses'!F11</f>
        <v>848</v>
      </c>
      <c r="G768" s="2575">
        <f>'Part VI-Revenues &amp; Expenses'!G11</f>
        <v>523</v>
      </c>
      <c r="H768" s="2575">
        <f>'Part VI-Revenues &amp; Expenses'!H11</f>
        <v>514</v>
      </c>
      <c r="I768" s="2575">
        <f>'Part VI-Revenues &amp; Expenses'!I11</f>
        <v>77</v>
      </c>
      <c r="J768" s="2576">
        <f>'Part VI-Revenues &amp; Expenses'!J11</f>
        <v>0</v>
      </c>
      <c r="K768" s="2577">
        <f t="shared" si="2"/>
        <v>437</v>
      </c>
      <c r="L768" s="2577">
        <f t="shared" si="3"/>
        <v>1748</v>
      </c>
      <c r="M768" s="2451" t="str">
        <f>'Part VI-Revenues &amp; Expenses'!M11</f>
        <v>No</v>
      </c>
      <c r="N768" s="2451" t="str">
        <f>'Part VI-Revenues &amp; Expenses'!N11</f>
        <v>2-Story</v>
      </c>
      <c r="O768" s="2451" t="str">
        <f>'Part VI-Revenues &amp; Expenses'!O11</f>
        <v>Acquisition/Rehab</v>
      </c>
      <c r="P768" s="2557" t="str">
        <f>'Part VI-Revenues &amp; Expenses'!P11</f>
        <v>No</v>
      </c>
      <c r="Q768" s="2578">
        <f>'Part VI-Revenues &amp; Expenses'!Q11</f>
        <v>20560</v>
      </c>
      <c r="R768" s="2579">
        <f>'Part VI-Revenues &amp; Expenses'!R11</f>
        <v>0.51684263448969336</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4</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3392</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f t="shared" si="106"/>
        <v>4</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4</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f t="shared" si="191"/>
        <v>4</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4</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1</v>
      </c>
      <c r="F769" s="2575">
        <f>'Part VI-Revenues &amp; Expenses'!F12</f>
        <v>1054</v>
      </c>
      <c r="G769" s="2575">
        <f>'Part VI-Revenues &amp; Expenses'!G12</f>
        <v>605</v>
      </c>
      <c r="H769" s="2575">
        <f>'Part VI-Revenues &amp; Expenses'!H12</f>
        <v>574</v>
      </c>
      <c r="I769" s="2575">
        <f>'Part VI-Revenues &amp; Expenses'!I12</f>
        <v>98</v>
      </c>
      <c r="J769" s="2576">
        <f>'Part VI-Revenues &amp; Expenses'!J12</f>
        <v>0</v>
      </c>
      <c r="K769" s="2577">
        <f t="shared" si="2"/>
        <v>476</v>
      </c>
      <c r="L769" s="2577">
        <f t="shared" si="3"/>
        <v>476</v>
      </c>
      <c r="M769" s="2451" t="str">
        <f>'Part VI-Revenues &amp; Expenses'!M12</f>
        <v>No</v>
      </c>
      <c r="N769" s="2451" t="str">
        <f>'Part VI-Revenues &amp; Expenses'!N12</f>
        <v>2-Story</v>
      </c>
      <c r="O769" s="2451" t="str">
        <f>'Part VI-Revenues &amp; Expenses'!O12</f>
        <v>Acquisition/Rehab</v>
      </c>
      <c r="P769" s="2557" t="str">
        <f>'Part VI-Revenues &amp; Expenses'!P12</f>
        <v>No</v>
      </c>
      <c r="Q769" s="2578">
        <f>'Part VI-Revenues &amp; Expenses'!Q12</f>
        <v>22960</v>
      </c>
      <c r="R769" s="2579">
        <f>'Part VI-Revenues &amp; Expenses'!R12</f>
        <v>0.49947789766794293</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1</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1054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f t="shared" si="107"/>
        <v>1</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1</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f t="shared" si="192"/>
        <v>1</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1</v>
      </c>
      <c r="JG769" s="2550">
        <f t="shared" si="248"/>
        <v>0</v>
      </c>
      <c r="JH769" s="2550">
        <f t="shared" si="249"/>
        <v>0</v>
      </c>
      <c r="JI769" s="2550">
        <f t="shared" si="250"/>
        <v>0</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9</v>
      </c>
      <c r="F770" s="2575">
        <f>'Part VI-Revenues &amp; Expenses'!F13</f>
        <v>654</v>
      </c>
      <c r="G770" s="2575">
        <f>'Part VI-Revenues &amp; Expenses'!G13</f>
        <v>479</v>
      </c>
      <c r="H770" s="2575">
        <f>'Part VI-Revenues &amp; Expenses'!H13</f>
        <v>449</v>
      </c>
      <c r="I770" s="2575">
        <f>'Part VI-Revenues &amp; Expenses'!I13</f>
        <v>60</v>
      </c>
      <c r="J770" s="2576">
        <f>'Part VI-Revenues &amp; Expenses'!J13</f>
        <v>0</v>
      </c>
      <c r="K770" s="2577">
        <f t="shared" si="2"/>
        <v>389</v>
      </c>
      <c r="L770" s="2577">
        <f t="shared" si="3"/>
        <v>3501</v>
      </c>
      <c r="M770" s="2451" t="str">
        <f>'Part VI-Revenues &amp; Expenses'!M13</f>
        <v>No</v>
      </c>
      <c r="N770" s="2451" t="str">
        <f>'Part VI-Revenues &amp; Expenses'!N13</f>
        <v>1-Story</v>
      </c>
      <c r="O770" s="2451" t="str">
        <f>'Part VI-Revenues &amp; Expenses'!O13</f>
        <v>Acquisition/Rehab</v>
      </c>
      <c r="P770" s="2557" t="str">
        <f>'Part VI-Revenues &amp; Expenses'!P13</f>
        <v>No</v>
      </c>
      <c r="Q770" s="2578">
        <f>'Part VI-Revenues &amp; Expenses'!Q13</f>
        <v>17960</v>
      </c>
      <c r="R770" s="2579">
        <f>'Part VI-Revenues &amp; Expenses'!R13</f>
        <v>0.54177978883861233</v>
      </c>
      <c r="S770" s="2578">
        <f>'Part VI-Revenues &amp; Expenses'!S13</f>
        <v>0</v>
      </c>
      <c r="T770" s="2579">
        <f>'Part VI-Revenues &amp; Expenses'!T13</f>
        <v>0</v>
      </c>
      <c r="U770" s="2501"/>
      <c r="V770" s="2501"/>
      <c r="W770" s="683" t="str">
        <f t="shared" si="4"/>
        <v/>
      </c>
      <c r="X770" s="683">
        <f t="shared" si="5"/>
        <v>9</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5886</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f t="shared" si="105"/>
        <v>9</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9</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f t="shared" si="180"/>
        <v>9</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9</v>
      </c>
      <c r="JE770" s="2550">
        <f t="shared" si="246"/>
        <v>0</v>
      </c>
      <c r="JF770" s="2550">
        <f t="shared" si="247"/>
        <v>0</v>
      </c>
      <c r="JG770" s="2550">
        <f t="shared" si="248"/>
        <v>0</v>
      </c>
      <c r="JH770" s="2550">
        <f t="shared" si="249"/>
        <v>0</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1</v>
      </c>
      <c r="E771" s="2575">
        <f>'Part VI-Revenues &amp; Expenses'!E14</f>
        <v>5</v>
      </c>
      <c r="F771" s="2575">
        <f>'Part VI-Revenues &amp; Expenses'!F14</f>
        <v>848</v>
      </c>
      <c r="G771" s="2575">
        <f>'Part VI-Revenues &amp; Expenses'!G14</f>
        <v>596</v>
      </c>
      <c r="H771" s="2575">
        <f>'Part VI-Revenues &amp; Expenses'!H14</f>
        <v>514</v>
      </c>
      <c r="I771" s="2575">
        <f>'Part VI-Revenues &amp; Expenses'!I14</f>
        <v>77</v>
      </c>
      <c r="J771" s="2576">
        <f>'Part VI-Revenues &amp; Expenses'!J14</f>
        <v>0</v>
      </c>
      <c r="K771" s="2577">
        <f t="shared" si="2"/>
        <v>437</v>
      </c>
      <c r="L771" s="2577">
        <f t="shared" si="3"/>
        <v>2185</v>
      </c>
      <c r="M771" s="2451" t="str">
        <f>'Part VI-Revenues &amp; Expenses'!M14</f>
        <v>No</v>
      </c>
      <c r="N771" s="2451" t="str">
        <f>'Part VI-Revenues &amp; Expenses'!N14</f>
        <v>2-Story</v>
      </c>
      <c r="O771" s="2451" t="str">
        <f>'Part VI-Revenues &amp; Expenses'!O14</f>
        <v>Acquisition/Rehab</v>
      </c>
      <c r="P771" s="2557" t="str">
        <f>'Part VI-Revenues &amp; Expenses'!P14</f>
        <v>No</v>
      </c>
      <c r="Q771" s="2578">
        <f>'Part VI-Revenues &amp; Expenses'!Q14</f>
        <v>20560</v>
      </c>
      <c r="R771" s="2579">
        <f>'Part VI-Revenues &amp; Expenses'!R14</f>
        <v>0.51684263448969336</v>
      </c>
      <c r="S771" s="2578">
        <f>'Part VI-Revenues &amp; Expenses'!S14</f>
        <v>0</v>
      </c>
      <c r="T771" s="2579">
        <f>'Part VI-Revenues &amp; Expenses'!T14</f>
        <v>0</v>
      </c>
      <c r="U771" s="2501"/>
      <c r="V771" s="2501"/>
      <c r="W771" s="683" t="str">
        <f t="shared" si="4"/>
        <v/>
      </c>
      <c r="X771" s="683" t="str">
        <f t="shared" si="5"/>
        <v/>
      </c>
      <c r="Y771" s="683">
        <f t="shared" si="6"/>
        <v>5</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4240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f t="shared" si="106"/>
        <v>5</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5</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f t="shared" si="191"/>
        <v>5</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5</v>
      </c>
      <c r="JF771" s="2550">
        <f t="shared" si="247"/>
        <v>0</v>
      </c>
      <c r="JG771" s="2550">
        <f t="shared" si="248"/>
        <v>0</v>
      </c>
      <c r="JH771" s="2550">
        <f t="shared" si="249"/>
        <v>0</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3</v>
      </c>
      <c r="D772" s="2574">
        <f>'Part VI-Revenues &amp; Expenses'!D15</f>
        <v>2</v>
      </c>
      <c r="E772" s="2575">
        <f>'Part VI-Revenues &amp; Expenses'!E15</f>
        <v>6</v>
      </c>
      <c r="F772" s="2575">
        <f>'Part VI-Revenues &amp; Expenses'!F15</f>
        <v>1053</v>
      </c>
      <c r="G772" s="2575">
        <f>'Part VI-Revenues &amp; Expenses'!G15</f>
        <v>726</v>
      </c>
      <c r="H772" s="2575">
        <f>'Part VI-Revenues &amp; Expenses'!H15</f>
        <v>574</v>
      </c>
      <c r="I772" s="2575">
        <f>'Part VI-Revenues &amp; Expenses'!I15</f>
        <v>98</v>
      </c>
      <c r="J772" s="2576">
        <f>'Part VI-Revenues &amp; Expenses'!J15</f>
        <v>0</v>
      </c>
      <c r="K772" s="2577">
        <f t="shared" si="2"/>
        <v>476</v>
      </c>
      <c r="L772" s="2577">
        <f t="shared" si="3"/>
        <v>2856</v>
      </c>
      <c r="M772" s="2451" t="str">
        <f>'Part VI-Revenues &amp; Expenses'!M15</f>
        <v>No</v>
      </c>
      <c r="N772" s="2451" t="str">
        <f>'Part VI-Revenues &amp; Expenses'!N15</f>
        <v>2-Story</v>
      </c>
      <c r="O772" s="2451" t="str">
        <f>'Part VI-Revenues &amp; Expenses'!O15</f>
        <v>Acquisition/Rehab</v>
      </c>
      <c r="P772" s="2557" t="str">
        <f>'Part VI-Revenues &amp; Expenses'!P15</f>
        <v>No</v>
      </c>
      <c r="Q772" s="2578">
        <f>'Part VI-Revenues &amp; Expenses'!Q15</f>
        <v>22960</v>
      </c>
      <c r="R772" s="2579">
        <f>'Part VI-Revenues &amp; Expenses'!R15</f>
        <v>0.49947789766794293</v>
      </c>
      <c r="S772" s="2578">
        <f>'Part VI-Revenues &amp; Expenses'!S15</f>
        <v>0</v>
      </c>
      <c r="T772" s="2579">
        <f>'Part VI-Revenues &amp; Expenses'!T15</f>
        <v>0</v>
      </c>
      <c r="U772" s="2501"/>
      <c r="V772" s="2501"/>
      <c r="W772" s="683" t="str">
        <f t="shared" si="4"/>
        <v/>
      </c>
      <c r="X772" s="683" t="str">
        <f t="shared" si="5"/>
        <v/>
      </c>
      <c r="Y772" s="683" t="str">
        <f t="shared" si="6"/>
        <v/>
      </c>
      <c r="Z772" s="683">
        <f t="shared" si="7"/>
        <v>6</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6318</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f t="shared" si="107"/>
        <v>6</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f t="shared" si="137"/>
        <v>6</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f t="shared" si="192"/>
        <v>6</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6</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60% AMI</v>
      </c>
      <c r="C773" s="2573">
        <f>'Part VI-Revenues &amp; Expenses'!C16</f>
        <v>1</v>
      </c>
      <c r="D773" s="2574">
        <f>'Part VI-Revenues &amp; Expenses'!D16</f>
        <v>1</v>
      </c>
      <c r="E773" s="2575">
        <f>'Part VI-Revenues &amp; Expenses'!E16</f>
        <v>8</v>
      </c>
      <c r="F773" s="2575">
        <f>'Part VI-Revenues &amp; Expenses'!F16</f>
        <v>654</v>
      </c>
      <c r="G773" s="2575">
        <f>'Part VI-Revenues &amp; Expenses'!G16</f>
        <v>479</v>
      </c>
      <c r="H773" s="2575">
        <f>'Part VI-Revenues &amp; Expenses'!H16</f>
        <v>454</v>
      </c>
      <c r="I773" s="2575">
        <f>'Part VI-Revenues &amp; Expenses'!I16</f>
        <v>60</v>
      </c>
      <c r="J773" s="2576">
        <f>'Part VI-Revenues &amp; Expenses'!J16</f>
        <v>0</v>
      </c>
      <c r="K773" s="2577">
        <f t="shared" si="2"/>
        <v>394</v>
      </c>
      <c r="L773" s="2577">
        <f t="shared" si="3"/>
        <v>3152</v>
      </c>
      <c r="M773" s="2451" t="str">
        <f>'Part VI-Revenues &amp; Expenses'!M16</f>
        <v>No</v>
      </c>
      <c r="N773" s="2451" t="str">
        <f>'Part VI-Revenues &amp; Expenses'!N16</f>
        <v>2-Story</v>
      </c>
      <c r="O773" s="2451" t="str">
        <f>'Part VI-Revenues &amp; Expenses'!O16</f>
        <v>Acquisition/Rehab</v>
      </c>
      <c r="P773" s="2557" t="str">
        <f>'Part VI-Revenues &amp; Expenses'!P16</f>
        <v>No</v>
      </c>
      <c r="Q773" s="2578">
        <f>'Part VI-Revenues &amp; Expenses'!Q16</f>
        <v>18160</v>
      </c>
      <c r="R773" s="2579">
        <f>'Part VI-Revenues &amp; Expenses'!R16</f>
        <v>0.54781297134238316</v>
      </c>
      <c r="S773" s="2578">
        <f>'Part VI-Revenues &amp; Expenses'!S16</f>
        <v>0</v>
      </c>
      <c r="T773" s="2579">
        <f>'Part VI-Revenues &amp; Expenses'!T16</f>
        <v>0</v>
      </c>
      <c r="U773" s="2501"/>
      <c r="V773" s="2501"/>
      <c r="W773" s="683" t="str">
        <f t="shared" si="4"/>
        <v/>
      </c>
      <c r="X773" s="683">
        <f t="shared" si="5"/>
        <v>8</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f t="shared" si="60"/>
        <v>5232</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f t="shared" si="105"/>
        <v>8</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f t="shared" si="135"/>
        <v>8</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f t="shared" si="190"/>
        <v>8</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8</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60% AMI</v>
      </c>
      <c r="C774" s="2573">
        <f>'Part VI-Revenues &amp; Expenses'!C17</f>
        <v>2</v>
      </c>
      <c r="D774" s="2574">
        <f>'Part VI-Revenues &amp; Expenses'!D17</f>
        <v>1</v>
      </c>
      <c r="E774" s="2575">
        <f>'Part VI-Revenues &amp; Expenses'!E17</f>
        <v>7</v>
      </c>
      <c r="F774" s="2575">
        <f>'Part VI-Revenues &amp; Expenses'!F17</f>
        <v>848</v>
      </c>
      <c r="G774" s="2575">
        <f>'Part VI-Revenues &amp; Expenses'!G17</f>
        <v>596</v>
      </c>
      <c r="H774" s="2575">
        <f>'Part VI-Revenues &amp; Expenses'!H17</f>
        <v>519</v>
      </c>
      <c r="I774" s="2575">
        <f>'Part VI-Revenues &amp; Expenses'!I17</f>
        <v>77</v>
      </c>
      <c r="J774" s="2576">
        <f>'Part VI-Revenues &amp; Expenses'!J17</f>
        <v>0</v>
      </c>
      <c r="K774" s="2577">
        <f t="shared" si="2"/>
        <v>442</v>
      </c>
      <c r="L774" s="2577">
        <f t="shared" si="3"/>
        <v>3094</v>
      </c>
      <c r="M774" s="2451" t="str">
        <f>'Part VI-Revenues &amp; Expenses'!M17</f>
        <v>No</v>
      </c>
      <c r="N774" s="2451" t="str">
        <f>'Part VI-Revenues &amp; Expenses'!N17</f>
        <v>2-Story</v>
      </c>
      <c r="O774" s="2451" t="str">
        <f>'Part VI-Revenues &amp; Expenses'!O17</f>
        <v>Acquisition/Rehab</v>
      </c>
      <c r="P774" s="2557" t="str">
        <f>'Part VI-Revenues &amp; Expenses'!P17</f>
        <v>No</v>
      </c>
      <c r="Q774" s="2578">
        <f>'Part VI-Revenues &amp; Expenses'!Q17</f>
        <v>20760</v>
      </c>
      <c r="R774" s="2579">
        <f>'Part VI-Revenues &amp; Expenses'!R17</f>
        <v>0.52187028657616896</v>
      </c>
      <c r="S774" s="2578">
        <f>'Part VI-Revenues &amp; Expenses'!S17</f>
        <v>0</v>
      </c>
      <c r="T774" s="2579">
        <f>'Part VI-Revenues &amp; Expenses'!T17</f>
        <v>0</v>
      </c>
      <c r="U774" s="2501"/>
      <c r="V774" s="2501"/>
      <c r="W774" s="683" t="str">
        <f t="shared" si="4"/>
        <v/>
      </c>
      <c r="X774" s="683" t="str">
        <f t="shared" si="5"/>
        <v/>
      </c>
      <c r="Y774" s="683">
        <f t="shared" si="6"/>
        <v>7</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f t="shared" si="61"/>
        <v>5936</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f t="shared" si="106"/>
        <v>7</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f t="shared" si="136"/>
        <v>7</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f t="shared" si="191"/>
        <v>7</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7</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60% AMI</v>
      </c>
      <c r="C775" s="2573">
        <f>'Part VI-Revenues &amp; Expenses'!C18</f>
        <v>3</v>
      </c>
      <c r="D775" s="2574">
        <f>'Part VI-Revenues &amp; Expenses'!D18</f>
        <v>2</v>
      </c>
      <c r="E775" s="2575">
        <f>'Part VI-Revenues &amp; Expenses'!E18</f>
        <v>5</v>
      </c>
      <c r="F775" s="2575">
        <f>'Part VI-Revenues &amp; Expenses'!F18</f>
        <v>1053</v>
      </c>
      <c r="G775" s="2575">
        <f>'Part VI-Revenues &amp; Expenses'!G18</f>
        <v>726</v>
      </c>
      <c r="H775" s="2575">
        <f>'Part VI-Revenues &amp; Expenses'!H18</f>
        <v>579</v>
      </c>
      <c r="I775" s="2575">
        <f>'Part VI-Revenues &amp; Expenses'!I18</f>
        <v>98</v>
      </c>
      <c r="J775" s="2576">
        <f>'Part VI-Revenues &amp; Expenses'!J18</f>
        <v>0</v>
      </c>
      <c r="K775" s="2577">
        <f t="shared" si="2"/>
        <v>481</v>
      </c>
      <c r="L775" s="2577">
        <f t="shared" si="3"/>
        <v>2405</v>
      </c>
      <c r="M775" s="2451" t="str">
        <f>'Part VI-Revenues &amp; Expenses'!M18</f>
        <v>No</v>
      </c>
      <c r="N775" s="2451" t="str">
        <f>'Part VI-Revenues &amp; Expenses'!N18</f>
        <v>2-Story</v>
      </c>
      <c r="O775" s="2451" t="str">
        <f>'Part VI-Revenues &amp; Expenses'!O18</f>
        <v>Acquisition/Rehab</v>
      </c>
      <c r="P775" s="2557" t="str">
        <f>'Part VI-Revenues &amp; Expenses'!P18</f>
        <v>No</v>
      </c>
      <c r="Q775" s="2578">
        <f>'Part VI-Revenues &amp; Expenses'!Q18</f>
        <v>23160</v>
      </c>
      <c r="R775" s="2579">
        <f>'Part VI-Revenues &amp; Expenses'!R18</f>
        <v>0.50382875043508524</v>
      </c>
      <c r="S775" s="2578">
        <f>'Part VI-Revenues &amp; Expenses'!S18</f>
        <v>0</v>
      </c>
      <c r="T775" s="2579">
        <f>'Part VI-Revenues &amp; Expenses'!T18</f>
        <v>0</v>
      </c>
      <c r="U775" s="2501"/>
      <c r="V775" s="2501"/>
      <c r="W775" s="683" t="str">
        <f t="shared" si="4"/>
        <v/>
      </c>
      <c r="X775" s="683" t="str">
        <f t="shared" si="5"/>
        <v/>
      </c>
      <c r="Y775" s="683" t="str">
        <f t="shared" si="6"/>
        <v/>
      </c>
      <c r="Z775" s="683">
        <f t="shared" si="7"/>
        <v>5</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f t="shared" si="62"/>
        <v>5265</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f t="shared" si="107"/>
        <v>5</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f t="shared" si="137"/>
        <v>5</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f t="shared" si="192"/>
        <v>5</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5</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f>'Part VI-Revenues &amp; Expenses'!B19</f>
        <v>0</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1027</v>
      </c>
      <c r="E805" s="2582">
        <f>SUM(E767:E804)</f>
        <v>48</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39285</v>
      </c>
      <c r="G805" s="479"/>
      <c r="H805" s="479"/>
      <c r="I805" s="479"/>
      <c r="J805" s="479"/>
      <c r="K805" s="2584" t="s">
        <v>1313</v>
      </c>
      <c r="L805" s="2582">
        <f>SUM(L767:L804)</f>
        <v>20032</v>
      </c>
      <c r="M805" s="2355"/>
      <c r="N805" s="2355"/>
      <c r="O805" s="2355"/>
      <c r="P805" s="2355"/>
      <c r="Q805" s="2355"/>
      <c r="R805" s="2355"/>
      <c r="S805" s="2355"/>
      <c r="T805" s="2355"/>
      <c r="U805" s="2562"/>
      <c r="V805" s="2585"/>
      <c r="W805" s="2585">
        <f t="shared" ref="W805:CH805" si="259">SUM(W767:W804)</f>
        <v>0</v>
      </c>
      <c r="X805" s="2585">
        <f t="shared" si="259"/>
        <v>17</v>
      </c>
      <c r="Y805" s="2585">
        <f t="shared" si="259"/>
        <v>12</v>
      </c>
      <c r="Z805" s="2585">
        <f t="shared" si="259"/>
        <v>11</v>
      </c>
      <c r="AA805" s="2585">
        <f t="shared" si="259"/>
        <v>0</v>
      </c>
      <c r="AB805" s="2585">
        <f t="shared" si="259"/>
        <v>0</v>
      </c>
      <c r="AC805" s="2585">
        <f t="shared" si="259"/>
        <v>3</v>
      </c>
      <c r="AD805" s="2585">
        <f t="shared" si="259"/>
        <v>4</v>
      </c>
      <c r="AE805" s="2585">
        <f t="shared" si="259"/>
        <v>1</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11118</v>
      </c>
      <c r="CB805" s="2585">
        <f t="shared" si="259"/>
        <v>10176</v>
      </c>
      <c r="CC805" s="2585">
        <f t="shared" si="259"/>
        <v>11583</v>
      </c>
      <c r="CD805" s="2585">
        <f t="shared" si="259"/>
        <v>0</v>
      </c>
      <c r="CE805" s="2585">
        <f t="shared" si="259"/>
        <v>0</v>
      </c>
      <c r="CF805" s="2585">
        <f t="shared" si="259"/>
        <v>1962</v>
      </c>
      <c r="CG805" s="2585">
        <f t="shared" si="259"/>
        <v>3392</v>
      </c>
      <c r="CH805" s="2585">
        <f t="shared" si="259"/>
        <v>1054</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0</v>
      </c>
      <c r="DF805" s="2585">
        <f t="shared" si="260"/>
        <v>0</v>
      </c>
      <c r="DG805" s="2585">
        <f t="shared" si="260"/>
        <v>0</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20</v>
      </c>
      <c r="DU805" s="2585">
        <f t="shared" si="260"/>
        <v>16</v>
      </c>
      <c r="DV805" s="2585">
        <f t="shared" si="260"/>
        <v>12</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20</v>
      </c>
      <c r="EY805" s="2585">
        <f t="shared" si="261"/>
        <v>16</v>
      </c>
      <c r="EZ805" s="2585">
        <f t="shared" si="261"/>
        <v>12</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12</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8</v>
      </c>
      <c r="HB805" s="2585">
        <f t="shared" si="261"/>
        <v>16</v>
      </c>
      <c r="HC805" s="2585">
        <f t="shared" si="261"/>
        <v>12</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20</v>
      </c>
      <c r="JE805" s="2585">
        <f t="shared" si="262"/>
        <v>16</v>
      </c>
      <c r="JF805" s="2585">
        <f t="shared" si="262"/>
        <v>12</v>
      </c>
      <c r="JG805" s="2585">
        <f t="shared" si="262"/>
        <v>0</v>
      </c>
      <c r="JH805" s="2585">
        <f t="shared" si="262"/>
        <v>0</v>
      </c>
      <c r="JI805" s="2585">
        <f t="shared" si="262"/>
        <v>0</v>
      </c>
      <c r="JJ805" s="2585">
        <f t="shared" si="262"/>
        <v>0</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821</v>
      </c>
      <c r="L806" s="2582">
        <f>L805*12</f>
        <v>240384</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4765</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747</v>
      </c>
      <c r="B810" s="2547" t="s">
        <v>538</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1145</v>
      </c>
      <c r="J812" s="2590" t="s">
        <v>572</v>
      </c>
      <c r="K812" s="2590" t="s">
        <v>539</v>
      </c>
      <c r="L812" s="2590" t="s">
        <v>540</v>
      </c>
      <c r="M812" s="2590" t="s">
        <v>541</v>
      </c>
      <c r="N812" s="2590" t="s">
        <v>542</v>
      </c>
      <c r="O812" s="2590" t="s">
        <v>543</v>
      </c>
      <c r="R812" s="2551" t="s">
        <v>1858</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1146</v>
      </c>
      <c r="D813" s="2355"/>
      <c r="E813" s="2355"/>
      <c r="F813" s="2355"/>
      <c r="H813" s="478" t="s">
        <v>1158</v>
      </c>
      <c r="J813" s="2591">
        <f>W805</f>
        <v>0</v>
      </c>
      <c r="K813" s="2591">
        <f>X805</f>
        <v>17</v>
      </c>
      <c r="L813" s="2591">
        <f>Y805</f>
        <v>12</v>
      </c>
      <c r="M813" s="2591">
        <f>Z805</f>
        <v>11</v>
      </c>
      <c r="N813" s="2591">
        <f>AA805</f>
        <v>0</v>
      </c>
      <c r="O813" s="2591">
        <f t="shared" ref="O813:O819" si="263">SUM(J813:N813)</f>
        <v>40</v>
      </c>
      <c r="P813" s="2518" t="s">
        <v>3696</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3</v>
      </c>
      <c r="L814" s="2591">
        <f>AD805</f>
        <v>4</v>
      </c>
      <c r="M814" s="2591">
        <f>AE805</f>
        <v>1</v>
      </c>
      <c r="N814" s="2591">
        <f>AF805</f>
        <v>0</v>
      </c>
      <c r="O814" s="2591">
        <f t="shared" si="263"/>
        <v>8</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543</v>
      </c>
      <c r="J815" s="2591">
        <f>SUM(J813:J814)</f>
        <v>0</v>
      </c>
      <c r="K815" s="2591">
        <f>SUM(K813:K814)</f>
        <v>20</v>
      </c>
      <c r="L815" s="2591">
        <f>SUM(L813:L814)</f>
        <v>16</v>
      </c>
      <c r="M815" s="2591">
        <f>SUM(M813:M814)</f>
        <v>12</v>
      </c>
      <c r="N815" s="2591">
        <f>SUM(N813:N814)</f>
        <v>0</v>
      </c>
      <c r="O815" s="2591">
        <f t="shared" si="263"/>
        <v>48</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1147</v>
      </c>
      <c r="D817" s="2355"/>
      <c r="E817" s="2355"/>
      <c r="F817" s="2355"/>
      <c r="H817" s="478"/>
      <c r="J817" s="2591">
        <f>SUM(J815:J816)</f>
        <v>0</v>
      </c>
      <c r="K817" s="2591">
        <f>SUM(K815:K816)</f>
        <v>20</v>
      </c>
      <c r="L817" s="2591">
        <f>SUM(L815:L816)</f>
        <v>16</v>
      </c>
      <c r="M817" s="2591">
        <f>SUM(M815:M816)</f>
        <v>12</v>
      </c>
      <c r="N817" s="2591">
        <f>SUM(N815:N816)</f>
        <v>0</v>
      </c>
      <c r="O817" s="2591">
        <f t="shared" si="263"/>
        <v>48</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2527</v>
      </c>
      <c r="D818" s="2355"/>
      <c r="E818" s="2355"/>
      <c r="F818" s="2355"/>
      <c r="H818" s="478"/>
      <c r="J818" s="2591">
        <f>BU805</f>
        <v>0</v>
      </c>
      <c r="K818" s="2591">
        <f>BV805</f>
        <v>0</v>
      </c>
      <c r="L818" s="2591">
        <f>BW805</f>
        <v>0</v>
      </c>
      <c r="M818" s="2591">
        <f>BX805</f>
        <v>0</v>
      </c>
      <c r="N818" s="2591">
        <f>BY805</f>
        <v>0</v>
      </c>
      <c r="O818" s="2591">
        <f t="shared" si="263"/>
        <v>0</v>
      </c>
      <c r="P818" s="2357" t="s">
        <v>3697</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543</v>
      </c>
      <c r="D819" s="2355"/>
      <c r="E819" s="2355"/>
      <c r="F819" s="2355"/>
      <c r="H819" s="478"/>
      <c r="J819" s="2591">
        <f>SUM(J817:J818)</f>
        <v>0</v>
      </c>
      <c r="K819" s="2591">
        <f>SUM(K817:K818)</f>
        <v>20</v>
      </c>
      <c r="L819" s="2591">
        <f>SUM(L817:L818)</f>
        <v>16</v>
      </c>
      <c r="M819" s="2591">
        <f>SUM(M817:M818)</f>
        <v>12</v>
      </c>
      <c r="N819" s="2591">
        <f>SUM(N817:N818)</f>
        <v>0</v>
      </c>
      <c r="O819" s="2591">
        <f t="shared" si="263"/>
        <v>48</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942</v>
      </c>
      <c r="D821" s="2355"/>
      <c r="E821" s="2556"/>
      <c r="F821" s="2355"/>
      <c r="H821" s="478" t="s">
        <v>1158</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2528</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543</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898</v>
      </c>
      <c r="D825" s="2560"/>
      <c r="E825" s="2560"/>
      <c r="F825" s="2355"/>
      <c r="H825" s="478" t="s">
        <v>1158</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2528</v>
      </c>
      <c r="D827" s="2355"/>
      <c r="E827" s="2556"/>
      <c r="F827" s="2355"/>
      <c r="H827" s="478" t="s">
        <v>543</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2310</v>
      </c>
      <c r="F829" s="2355"/>
      <c r="H829" s="478" t="s">
        <v>1443</v>
      </c>
      <c r="J829" s="2591">
        <f>DD805</f>
        <v>0</v>
      </c>
      <c r="K829" s="2591">
        <f>DE805</f>
        <v>0</v>
      </c>
      <c r="L829" s="2591">
        <f>DF805</f>
        <v>0</v>
      </c>
      <c r="M829" s="2591">
        <f>DG805</f>
        <v>0</v>
      </c>
      <c r="N829" s="2591">
        <f>DH805</f>
        <v>0</v>
      </c>
      <c r="O829" s="2591">
        <f t="shared" ref="O829:O839" si="264">SUM(J829:N829)</f>
        <v>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0</v>
      </c>
      <c r="L831" s="2591">
        <f>SUM(L829:L830)+DP805</f>
        <v>0</v>
      </c>
      <c r="M831" s="2591">
        <f>SUM(M829:M830)+DQ805</f>
        <v>0</v>
      </c>
      <c r="N831" s="2591">
        <f>SUM(N829:N830)+DR805</f>
        <v>0</v>
      </c>
      <c r="O831" s="2591">
        <f t="shared" si="264"/>
        <v>0</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2152</v>
      </c>
      <c r="F832" s="2355"/>
      <c r="H832" s="478" t="s">
        <v>1443</v>
      </c>
      <c r="J832" s="2591">
        <f>DS805</f>
        <v>0</v>
      </c>
      <c r="K832" s="2591">
        <f>DT805</f>
        <v>20</v>
      </c>
      <c r="L832" s="2591">
        <f>DU805</f>
        <v>16</v>
      </c>
      <c r="M832" s="2591">
        <f>DV805</f>
        <v>12</v>
      </c>
      <c r="N832" s="2591">
        <f>DW805</f>
        <v>0</v>
      </c>
      <c r="O832" s="2591">
        <f t="shared" si="264"/>
        <v>48</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20</v>
      </c>
      <c r="L834" s="2591">
        <f>SUM(L832:L833)+EE805</f>
        <v>16</v>
      </c>
      <c r="M834" s="2591">
        <f>SUM(M832:M833)+EF805</f>
        <v>12</v>
      </c>
      <c r="N834" s="2591">
        <f>SUM(N832:N833)+EG805</f>
        <v>0</v>
      </c>
      <c r="O834" s="2591">
        <f t="shared" si="264"/>
        <v>48</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1430</v>
      </c>
      <c r="F835" s="1329"/>
      <c r="H835" s="478" t="s">
        <v>1443</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4549</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3378</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4766</v>
      </c>
      <c r="D843" s="2501"/>
      <c r="E843" s="2556" t="s">
        <v>40</v>
      </c>
      <c r="F843" s="2355"/>
      <c r="G843" s="2357"/>
      <c r="J843" s="2591">
        <f t="shared" ref="J843:O843" si="265">SUM(J844:J851)</f>
        <v>0</v>
      </c>
      <c r="K843" s="2591">
        <f t="shared" si="265"/>
        <v>20</v>
      </c>
      <c r="L843" s="2591">
        <f t="shared" si="265"/>
        <v>16</v>
      </c>
      <c r="M843" s="2591">
        <f t="shared" si="265"/>
        <v>12</v>
      </c>
      <c r="N843" s="2591">
        <f t="shared" si="265"/>
        <v>0</v>
      </c>
      <c r="O843" s="2591">
        <f t="shared" si="265"/>
        <v>48</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2620</v>
      </c>
      <c r="J844" s="2591">
        <f>GP805</f>
        <v>0</v>
      </c>
      <c r="K844" s="2591">
        <f>GQ805</f>
        <v>12</v>
      </c>
      <c r="L844" s="2591">
        <f>GR805</f>
        <v>0</v>
      </c>
      <c r="M844" s="2591">
        <f>GS805</f>
        <v>0</v>
      </c>
      <c r="N844" s="2591">
        <f>GT805</f>
        <v>0</v>
      </c>
      <c r="O844" s="2591">
        <f t="shared" ref="O844:O859" si="266">SUM(J844:N844)</f>
        <v>12</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3378</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2621</v>
      </c>
      <c r="J846" s="2591">
        <f>GZ805</f>
        <v>0</v>
      </c>
      <c r="K846" s="2591">
        <f>HA805</f>
        <v>8</v>
      </c>
      <c r="L846" s="2591">
        <f>HB805</f>
        <v>16</v>
      </c>
      <c r="M846" s="2591">
        <f>HC805</f>
        <v>12</v>
      </c>
      <c r="N846" s="2591">
        <f>HD805</f>
        <v>0</v>
      </c>
      <c r="O846" s="2591">
        <f t="shared" si="266"/>
        <v>36</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3378</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2623</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3378</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2622</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3378</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3378</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3378</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569</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3378</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570</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3378</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4767</v>
      </c>
      <c r="D861" s="2501"/>
      <c r="E861" s="2556" t="s">
        <v>3373</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3378</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3374</v>
      </c>
      <c r="F863" s="2357"/>
      <c r="H863" s="2357"/>
      <c r="J863" s="2591">
        <f>J844+J854</f>
        <v>0</v>
      </c>
      <c r="K863" s="2591">
        <f t="shared" ref="K863:N864" si="269">K844+K854</f>
        <v>12</v>
      </c>
      <c r="L863" s="2591">
        <f t="shared" si="269"/>
        <v>0</v>
      </c>
      <c r="M863" s="2591">
        <f t="shared" si="269"/>
        <v>0</v>
      </c>
      <c r="N863" s="2591">
        <f t="shared" si="269"/>
        <v>0</v>
      </c>
      <c r="O863" s="2591">
        <f t="shared" si="268"/>
        <v>12</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3378</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3375</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3378</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3376</v>
      </c>
      <c r="F867" s="2357"/>
      <c r="H867" s="2598"/>
      <c r="J867" s="2591">
        <f>J846+J850</f>
        <v>0</v>
      </c>
      <c r="K867" s="2591">
        <f t="shared" ref="K867:N868" si="271">K846+K850</f>
        <v>8</v>
      </c>
      <c r="L867" s="2591">
        <f t="shared" si="271"/>
        <v>16</v>
      </c>
      <c r="M867" s="2591">
        <f t="shared" si="271"/>
        <v>12</v>
      </c>
      <c r="N867" s="2591">
        <f t="shared" si="271"/>
        <v>0</v>
      </c>
      <c r="O867" s="2591">
        <f t="shared" si="268"/>
        <v>36</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3378</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2180</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2151</v>
      </c>
      <c r="D870" s="2355"/>
      <c r="E870" s="2355"/>
      <c r="F870" s="2355"/>
      <c r="H870" s="2598" t="s">
        <v>1158</v>
      </c>
      <c r="J870" s="2604">
        <f>BZ805</f>
        <v>0</v>
      </c>
      <c r="K870" s="2604">
        <f>CA805</f>
        <v>11118</v>
      </c>
      <c r="L870" s="2604">
        <f>CB805</f>
        <v>10176</v>
      </c>
      <c r="M870" s="2604">
        <f>CC805</f>
        <v>11583</v>
      </c>
      <c r="N870" s="2604">
        <f>CD805</f>
        <v>0</v>
      </c>
      <c r="O870" s="2604">
        <f t="shared" ref="O870:O876" si="272">SUM(J870:N870)</f>
        <v>32877</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1962</v>
      </c>
      <c r="L871" s="2604">
        <f>CG805</f>
        <v>3392</v>
      </c>
      <c r="M871" s="2604">
        <f>CH805</f>
        <v>1054</v>
      </c>
      <c r="N871" s="2604">
        <f>CI805</f>
        <v>0</v>
      </c>
      <c r="O871" s="2604">
        <f t="shared" si="272"/>
        <v>6408</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543</v>
      </c>
      <c r="J872" s="2604">
        <f>SUM(J870:J871)</f>
        <v>0</v>
      </c>
      <c r="K872" s="2604">
        <f>SUM(K870:K871)</f>
        <v>13080</v>
      </c>
      <c r="L872" s="2604">
        <f>SUM(L870:L871)</f>
        <v>13568</v>
      </c>
      <c r="M872" s="2604">
        <f>SUM(M870:M871)</f>
        <v>12637</v>
      </c>
      <c r="N872" s="2604">
        <f>SUM(N870:N871)</f>
        <v>0</v>
      </c>
      <c r="O872" s="2604">
        <f t="shared" si="272"/>
        <v>39285</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1147</v>
      </c>
      <c r="D874" s="2355"/>
      <c r="E874" s="2355"/>
      <c r="F874" s="2355"/>
      <c r="G874" s="2355"/>
      <c r="J874" s="2604">
        <f>SUM(J872:J873)</f>
        <v>0</v>
      </c>
      <c r="K874" s="2604">
        <f>SUM(K872:K873)</f>
        <v>13080</v>
      </c>
      <c r="L874" s="2604">
        <f>SUM(L872:L873)</f>
        <v>13568</v>
      </c>
      <c r="M874" s="2604">
        <f>SUM(M872:M873)</f>
        <v>12637</v>
      </c>
      <c r="N874" s="2604">
        <f>SUM(N872:N873)</f>
        <v>0</v>
      </c>
      <c r="O874" s="2604">
        <f t="shared" si="272"/>
        <v>39285</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2527</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543</v>
      </c>
      <c r="D876" s="2355"/>
      <c r="E876" s="2355"/>
      <c r="F876" s="2355"/>
      <c r="G876" s="2355"/>
      <c r="J876" s="2604">
        <f>SUM(J874:J875)</f>
        <v>0</v>
      </c>
      <c r="K876" s="2604">
        <f>SUM(K874:K875)</f>
        <v>13080</v>
      </c>
      <c r="L876" s="2604">
        <f>SUM(L874:L875)</f>
        <v>13568</v>
      </c>
      <c r="M876" s="2604">
        <f>SUM(M874:M875)</f>
        <v>12637</v>
      </c>
      <c r="N876" s="2604">
        <f>SUM(N874:N875)</f>
        <v>0</v>
      </c>
      <c r="O876" s="2604">
        <f t="shared" si="272"/>
        <v>39285</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749</v>
      </c>
      <c r="B877" s="2547" t="s">
        <v>4768</v>
      </c>
      <c r="R877" s="2547" t="s">
        <v>1858</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1025</v>
      </c>
      <c r="C879" s="1330"/>
      <c r="D879" s="2556"/>
      <c r="E879" s="1330"/>
      <c r="F879" s="1330"/>
      <c r="G879" s="1330"/>
      <c r="H879" s="2606">
        <f>'Part VI-Revenues &amp; Expenses'!H122</f>
        <v>4807.68</v>
      </c>
      <c r="I879" s="2606">
        <f>'Part VI-Revenues &amp; Expenses'!I122</f>
        <v>0</v>
      </c>
      <c r="J879" s="1330"/>
      <c r="K879" s="2607" t="s">
        <v>4769</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1456</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2301</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1026</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748</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936</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4770</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537</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748</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4771</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2301</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2638</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1026</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748</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936</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4770</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537</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748</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4771</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2301</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2639</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1026</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748</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936</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4770</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537</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748</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4771</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2301</v>
      </c>
      <c r="C909" s="1330"/>
      <c r="D909" s="1330"/>
      <c r="E909" s="1330"/>
      <c r="F909" s="1330"/>
      <c r="G909" s="2612">
        <v>31</v>
      </c>
      <c r="H909" s="2612">
        <v>32</v>
      </c>
      <c r="I909" s="2612">
        <v>33</v>
      </c>
      <c r="J909" s="2612">
        <v>34</v>
      </c>
      <c r="K909" s="2612">
        <v>35</v>
      </c>
      <c r="L909" s="1330"/>
      <c r="M909" s="1330"/>
      <c r="N909" s="1330"/>
      <c r="O909" s="1330"/>
      <c r="P909" s="1330"/>
      <c r="R909" s="2581" t="s">
        <v>2639</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1026</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748</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936</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4770</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537</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748</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4771</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1804</v>
      </c>
      <c r="B918" s="2545" t="s">
        <v>1028</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1858</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1301</v>
      </c>
      <c r="F920" s="683"/>
      <c r="G920" s="683"/>
      <c r="I920" s="2544" t="s">
        <v>1388</v>
      </c>
      <c r="N920" s="2544" t="s">
        <v>1387</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2211</v>
      </c>
      <c r="F921" s="2604">
        <f>'Part VI-Revenues &amp; Expenses'!F164</f>
        <v>19000</v>
      </c>
      <c r="G921" s="2604">
        <f>'Part VI-Revenues &amp; Expenses'!G164</f>
        <v>0</v>
      </c>
      <c r="I921" s="2355" t="s">
        <v>1389</v>
      </c>
      <c r="K921" s="2604">
        <f>'Part VI-Revenues &amp; Expenses'!K164</f>
        <v>0</v>
      </c>
      <c r="L921" s="2604">
        <f>'Part VI-Revenues &amp; Expenses'!L164</f>
        <v>0</v>
      </c>
      <c r="N921" s="2355" t="s">
        <v>937</v>
      </c>
      <c r="P921" s="2615">
        <f>'Part VI-Revenues &amp; Expenses'!P164</f>
        <v>10000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1378</v>
      </c>
      <c r="F922" s="2604">
        <f>'Part VI-Revenues &amp; Expenses'!F165</f>
        <v>7546</v>
      </c>
      <c r="G922" s="2604">
        <f>'Part VI-Revenues &amp; Expenses'!G165</f>
        <v>0</v>
      </c>
      <c r="I922" s="2355" t="s">
        <v>1390</v>
      </c>
      <c r="K922" s="2604">
        <f>'Part VI-Revenues &amp; Expenses'!K165</f>
        <v>5000</v>
      </c>
      <c r="L922" s="2604">
        <f>'Part VI-Revenues &amp; Expenses'!L165</f>
        <v>0</v>
      </c>
      <c r="N922" s="2355" t="s">
        <v>148</v>
      </c>
      <c r="P922" s="2615">
        <f>'Part VI-Revenues &amp; Expenses'!P165</f>
        <v>9598</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1250</v>
      </c>
      <c r="F923" s="2604">
        <f>'Part VI-Revenues &amp; Expenses'!F166</f>
        <v>1000</v>
      </c>
      <c r="G923" s="2604">
        <f>'Part VI-Revenues &amp; Expenses'!G166</f>
        <v>0</v>
      </c>
      <c r="J923" s="2621" t="s">
        <v>193</v>
      </c>
      <c r="K923" s="2604">
        <f>SUM(K921:L922)</f>
        <v>5000</v>
      </c>
      <c r="L923" s="2604"/>
      <c r="N923" s="2622" t="str">
        <f>'Part VI-Revenues &amp; Expenses'!N166</f>
        <v>Tax Appeals</v>
      </c>
      <c r="O923" s="2622">
        <f>'Part VI-Revenues &amp; Expenses'!O166</f>
        <v>0</v>
      </c>
      <c r="P923" s="2615">
        <f>'Part VI-Revenues &amp; Expenses'!P166</f>
        <v>1728</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Payroll Tases&amp;Health Insurance</v>
      </c>
      <c r="C924" s="478">
        <f>'Part VI-Revenues &amp; Expenses'!C167</f>
        <v>0</v>
      </c>
      <c r="D924" s="478">
        <f>'Part VI-Revenues &amp; Expenses'!D167</f>
        <v>0</v>
      </c>
      <c r="E924" s="478">
        <f>'Part VI-Revenues &amp; Expenses'!E167</f>
        <v>0</v>
      </c>
      <c r="F924" s="2604">
        <f>'Part VI-Revenues &amp; Expenses'!F167</f>
        <v>2104</v>
      </c>
      <c r="G924" s="2604">
        <f>'Part VI-Revenues &amp; Expenses'!G167</f>
        <v>0</v>
      </c>
      <c r="N924" s="2621" t="s">
        <v>193</v>
      </c>
      <c r="P924" s="2615">
        <f>SUM(P921:P923)</f>
        <v>21326</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29650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1302</v>
      </c>
      <c r="D927" s="2623"/>
      <c r="I927" s="2544" t="s">
        <v>1303</v>
      </c>
      <c r="N927" s="2544" t="s">
        <v>1391</v>
      </c>
      <c r="P927" s="2624">
        <f>IF(OR('Part VII-Pro Forma'!$B$20 = "Choose Mgt Fee",'Part VII-Pro Forma'!$B$20 = "Choose One!"), 0,- 'Part VII-Pro Forma'!$B$20)</f>
        <v>24192</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1383</v>
      </c>
      <c r="D928" s="2623"/>
      <c r="F928" s="2604">
        <f>'Part VI-Revenues &amp; Expenses'!F171</f>
        <v>2219</v>
      </c>
      <c r="G928" s="2604">
        <f>'Part VI-Revenues &amp; Expenses'!G171</f>
        <v>0</v>
      </c>
      <c r="I928" s="2355" t="s">
        <v>1613</v>
      </c>
      <c r="K928" s="2615">
        <f>'Part VI-Revenues &amp; Expenses'!K171</f>
        <v>1299</v>
      </c>
      <c r="L928" s="2615">
        <f>'Part VI-Revenues &amp; Expenses'!L171</f>
        <v>0</v>
      </c>
      <c r="N928" s="2625">
        <f>+P927/(O819*0.93)</f>
        <v>541.93548387096769</v>
      </c>
      <c r="O928" s="2626" t="s">
        <v>2773</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1384</v>
      </c>
      <c r="D929" s="2623"/>
      <c r="F929" s="2604">
        <f>'Part VI-Revenues &amp; Expenses'!F172</f>
        <v>1500</v>
      </c>
      <c r="G929" s="2604">
        <f>'Part VI-Revenues &amp; Expenses'!G172</f>
        <v>0</v>
      </c>
      <c r="I929" s="2355" t="s">
        <v>2064</v>
      </c>
      <c r="K929" s="2615">
        <f>'Part VI-Revenues &amp; Expenses'!K172</f>
        <v>5500</v>
      </c>
      <c r="L929" s="2615">
        <f>'Part VI-Revenues &amp; Expenses'!L172</f>
        <v>0</v>
      </c>
      <c r="N929" s="2625">
        <f>+P927/(O819*0.93)/12</f>
        <v>45.161290322580641</v>
      </c>
      <c r="O929" s="2626" t="s">
        <v>2774</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1385</v>
      </c>
      <c r="D930" s="2623"/>
      <c r="F930" s="2604">
        <f>'Part VI-Revenues &amp; Expenses'!F173</f>
        <v>1000</v>
      </c>
      <c r="G930" s="2604">
        <f>'Part VI-Revenues &amp; Expenses'!G173</f>
        <v>0</v>
      </c>
      <c r="I930" s="2355" t="s">
        <v>1614</v>
      </c>
      <c r="K930" s="2615">
        <f>'Part VI-Revenues &amp; Expenses'!K173</f>
        <v>500</v>
      </c>
      <c r="L930" s="2615">
        <f>'Part VI-Revenues &amp; Expenses'!L173</f>
        <v>0</v>
      </c>
      <c r="N930" s="478" t="s">
        <v>3758</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2356</v>
      </c>
      <c r="D931" s="2623"/>
      <c r="F931" s="2604">
        <f>'Part VI-Revenues &amp; Expenses'!F174</f>
        <v>0</v>
      </c>
      <c r="G931" s="2604">
        <f>'Part VI-Revenues &amp; Expenses'!G174</f>
        <v>0</v>
      </c>
      <c r="I931" s="2622">
        <f>'Part VI-Revenues &amp; Expenses'!I174</f>
        <v>0</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1611</v>
      </c>
      <c r="D932" s="2623"/>
      <c r="F932" s="2604">
        <f>'Part VI-Revenues &amp; Expenses'!F175</f>
        <v>1000</v>
      </c>
      <c r="G932" s="2604">
        <f>'Part VI-Revenues &amp; Expenses'!G175</f>
        <v>0</v>
      </c>
      <c r="I932" s="2544"/>
      <c r="J932" s="2621" t="s">
        <v>193</v>
      </c>
      <c r="K932" s="2615">
        <f>SUM(K928:K931)</f>
        <v>7299</v>
      </c>
      <c r="L932" s="2615"/>
      <c r="M932" s="2628" t="str">
        <f>IF(P934="","",IF(P932&lt;P934, "WARNING! OE below required minimum.",""))</f>
        <v/>
      </c>
      <c r="N932" s="2544" t="s">
        <v>2201</v>
      </c>
      <c r="P932" s="2615">
        <f>F925+F934+F945+K923+K932+K942+P924+P927</f>
        <v>153826</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2775</v>
      </c>
      <c r="O933" s="2625">
        <f>+P932/O819</f>
        <v>3204.7083333333335</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5719</v>
      </c>
      <c r="G934" s="2604"/>
      <c r="J934" s="2591"/>
      <c r="M934" s="2628"/>
      <c r="O934" s="2626" t="s">
        <v>3759</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1304</v>
      </c>
      <c r="D936" s="2623"/>
      <c r="I936" s="2544" t="s">
        <v>1386</v>
      </c>
      <c r="J936" s="2356" t="s">
        <v>2772</v>
      </c>
      <c r="N936" s="2544" t="s">
        <v>3504</v>
      </c>
      <c r="O936" s="2544"/>
      <c r="P936" s="2629">
        <f>'Part VI-Revenues &amp; Expenses'!P179</f>
        <v>16800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1615</v>
      </c>
      <c r="D937" s="2623"/>
      <c r="F937" s="2604">
        <f>'Part VI-Revenues &amp; Expenses'!F180</f>
        <v>6000</v>
      </c>
      <c r="G937" s="2604">
        <f>'Part VI-Revenues &amp; Expenses'!G180</f>
        <v>0</v>
      </c>
      <c r="I937" s="2355" t="s">
        <v>1379</v>
      </c>
      <c r="J937" s="2417">
        <f>K937/12/O819</f>
        <v>6.9444444444444438</v>
      </c>
      <c r="K937" s="2615">
        <f>'Part VI-Revenues &amp; Expenses'!K180</f>
        <v>4000</v>
      </c>
      <c r="L937" s="2615">
        <f>'Part VI-Revenues &amp; Expenses'!L180</f>
        <v>0</v>
      </c>
      <c r="M937" s="2628" t="str">
        <f>IF(P936&lt;P945, "WARNING! RR proposed is below the DCA required minimum.","")</f>
        <v/>
      </c>
      <c r="N937" s="478" t="s">
        <v>3767</v>
      </c>
      <c r="P937" s="2630">
        <f>P936/O945</f>
        <v>350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1616</v>
      </c>
      <c r="D938" s="2623"/>
      <c r="F938" s="2604">
        <f>'Part VI-Revenues &amp; Expenses'!F181</f>
        <v>6000</v>
      </c>
      <c r="G938" s="2604">
        <f>'Part VI-Revenues &amp; Expenses'!G181</f>
        <v>0</v>
      </c>
      <c r="I938" s="2355" t="s">
        <v>1380</v>
      </c>
      <c r="J938" s="2417">
        <f>K938/12/O819</f>
        <v>0</v>
      </c>
      <c r="K938" s="2615">
        <f>'Part VI-Revenues &amp; Expenses'!K181</f>
        <v>0</v>
      </c>
      <c r="L938" s="2615">
        <f>'Part VI-Revenues &amp; Expenses'!L181</f>
        <v>0</v>
      </c>
      <c r="M938" s="2628"/>
      <c r="N938" s="2631" t="s">
        <v>3766</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1617</v>
      </c>
      <c r="D939" s="2623"/>
      <c r="F939" s="2604">
        <f>'Part VI-Revenues &amp; Expenses'!F182</f>
        <v>10000</v>
      </c>
      <c r="G939" s="2604">
        <f>'Part VI-Revenues &amp; Expenses'!G182</f>
        <v>0</v>
      </c>
      <c r="I939" s="2355" t="s">
        <v>2367</v>
      </c>
      <c r="J939" s="2417">
        <f>K939/12/O819</f>
        <v>41.909722222222221</v>
      </c>
      <c r="K939" s="2615">
        <f>'Part VI-Revenues &amp; Expenses'!K182</f>
        <v>24140</v>
      </c>
      <c r="L939" s="2615">
        <f>'Part VI-Revenues &amp; Expenses'!L182</f>
        <v>0</v>
      </c>
      <c r="M939" s="2628"/>
      <c r="N939" s="2632" t="s">
        <v>2731</v>
      </c>
      <c r="O939" s="2633" t="s">
        <v>3881</v>
      </c>
      <c r="P939" s="2633" t="s">
        <v>3459</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1011</v>
      </c>
      <c r="D940" s="2623"/>
      <c r="F940" s="2604">
        <f>'Part VI-Revenues &amp; Expenses'!F183</f>
        <v>3500</v>
      </c>
      <c r="G940" s="2604">
        <f>'Part VI-Revenues &amp; Expenses'!G183</f>
        <v>0</v>
      </c>
      <c r="I940" s="2355" t="s">
        <v>1382</v>
      </c>
      <c r="K940" s="2615">
        <f>'Part VI-Revenues &amp; Expenses'!K183</f>
        <v>3500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1012</v>
      </c>
      <c r="D941" s="2623"/>
      <c r="F941" s="2604">
        <f>'Part VI-Revenues &amp; Expenses'!F184</f>
        <v>3000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3451</v>
      </c>
      <c r="O941" s="2635" t="str">
        <f>CONCATENATE(SUM(JC805:JG805)," units x $",'DCA Underwriting Assumptions'!$Q$65," =")</f>
        <v>48 units x $350 =</v>
      </c>
      <c r="P941" s="2635">
        <f>SUM(JC805:JG805)*'DCA Underwriting Assumptions'!$Q$65</f>
        <v>16800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1013</v>
      </c>
      <c r="D942" s="2623"/>
      <c r="F942" s="2604">
        <f>'Part VI-Revenues &amp; Expenses'!F185</f>
        <v>0</v>
      </c>
      <c r="G942" s="2604">
        <f>'Part VI-Revenues &amp; Expenses'!G185</f>
        <v>0</v>
      </c>
      <c r="J942" s="2621" t="s">
        <v>193</v>
      </c>
      <c r="K942" s="2615">
        <f>SUM(K937:K941)</f>
        <v>31640</v>
      </c>
      <c r="L942" s="2615"/>
      <c r="M942" s="2628"/>
      <c r="N942" s="2357" t="s">
        <v>3450</v>
      </c>
      <c r="O942" s="2635" t="str">
        <f>CONCATENATE(SUM(JH805:JL805)," units x $",'DCA Underwriting Assumptions'!$Q$66," =")</f>
        <v>0 units x $250 =</v>
      </c>
      <c r="P942" s="2635">
        <f>SUM(JH805:JL805)*'DCA Underwriting Assumptions'!$Q$66</f>
        <v>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875</v>
      </c>
      <c r="D943" s="2623"/>
      <c r="F943" s="2604">
        <f>'Part VI-Revenues &amp; Expenses'!F186</f>
        <v>500</v>
      </c>
      <c r="G943" s="2604">
        <f>'Part VI-Revenues &amp; Expenses'!G186</f>
        <v>0</v>
      </c>
      <c r="J943" s="2591"/>
      <c r="M943" s="2628"/>
      <c r="N943" s="2474" t="s">
        <v>3454</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3449</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29000</v>
      </c>
      <c r="G945" s="2604"/>
      <c r="J945" s="2591"/>
      <c r="N945" s="2584" t="s">
        <v>2734</v>
      </c>
      <c r="O945" s="2578">
        <f>SUM(JC805:JG805)+SUM(JH805:JL805)+SUM(JM805:JQ805)+O841</f>
        <v>48</v>
      </c>
      <c r="P945" s="2636">
        <f>SUM(P941:P944)</f>
        <v>16800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2202</v>
      </c>
      <c r="P947" s="2615">
        <f>P932+P936</f>
        <v>170626</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1806</v>
      </c>
      <c r="B949" s="2547" t="s">
        <v>576</v>
      </c>
      <c r="M949" s="2547" t="s">
        <v>4160</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The two % other income is an historic average from application fees and or washer dryer concessions.  Insurance is calculated based on  the rate the project is now paying which is a valuation of replacement value.  Taxes have been increased to $10,000 which is about twice what they are now (they were $4,423 in 2017).  All other expenses  except maintenance has been estimated about the same as 2017 but maintenance costs will go down significantly after the rehab has been completed.  Many repairs made during last couble of years have been high cost items that were paid out of operations because of a dwendling RR.</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4159</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2018-032 Hillcrest Apartments,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4772</v>
      </c>
    </row>
    <row r="961" spans="1:19" ht="12.75" customHeight="1">
      <c r="A961" s="683" t="s">
        <v>2203</v>
      </c>
      <c r="B961" s="2637">
        <v>0.02</v>
      </c>
      <c r="D961" s="2501" t="s">
        <v>4773</v>
      </c>
      <c r="E961" s="2501"/>
      <c r="F961" s="2501"/>
      <c r="G961" s="2638">
        <f>'Part VII-Pro Forma'!G5</f>
        <v>2000</v>
      </c>
      <c r="H961" s="2600" t="s">
        <v>1921</v>
      </c>
      <c r="K961" s="2639" t="e">
        <f>IF(($B$14+$B$15+$B$16+$B$17)=0,"",B984/($B$14+$B$15+$B$16+$B$17))</f>
        <v>#VALUE!</v>
      </c>
    </row>
    <row r="962" spans="1:19">
      <c r="A962" s="683" t="s">
        <v>2204</v>
      </c>
      <c r="B962" s="2637">
        <v>0.03</v>
      </c>
      <c r="D962" s="2501"/>
      <c r="E962" s="2501"/>
      <c r="F962" s="2501"/>
      <c r="G962" s="2640">
        <f>IF(OR('Part III-Sources of Funds'!B967="Yes",'Part III-Sources of Funds'!E967&gt;0),'DCA Underwriting Assumptions'!$Q$95,0)</f>
        <v>0</v>
      </c>
    </row>
    <row r="963" spans="1:19">
      <c r="A963" s="683" t="s">
        <v>2206</v>
      </c>
      <c r="B963" s="2637">
        <v>0.03</v>
      </c>
      <c r="D963" s="2355" t="s">
        <v>272</v>
      </c>
      <c r="G963" s="2641"/>
      <c r="H963" s="2600" t="s">
        <v>2389</v>
      </c>
      <c r="K963" s="2639" t="e">
        <f>IF(($B$14+$B$15+$B$16+$B$17)=0,"",-B976/($B$14+$B$15+$B$16+$B$17))</f>
        <v>#VALUE!</v>
      </c>
    </row>
    <row r="964" spans="1:19">
      <c r="A964" s="683" t="s">
        <v>2205</v>
      </c>
      <c r="B964" s="2637">
        <f>'Part VII-Pro Forma'!B8</f>
        <v>7.0000000000000007E-2</v>
      </c>
      <c r="D964" s="2355" t="s">
        <v>2524</v>
      </c>
      <c r="G964" s="2642" t="str">
        <f>'Part VII-Pro Forma'!G8</f>
        <v>Yes</v>
      </c>
      <c r="H964" s="2643" t="s">
        <v>1455</v>
      </c>
      <c r="K964" s="2644">
        <f>'Part VII-Pro Forma'!K8</f>
        <v>24192</v>
      </c>
    </row>
    <row r="965" spans="1:19">
      <c r="A965" s="683" t="s">
        <v>1429</v>
      </c>
      <c r="B965" s="2637">
        <v>0.02</v>
      </c>
      <c r="D965" s="2355" t="s">
        <v>1730</v>
      </c>
      <c r="G965" s="2642">
        <f>'Part VII-Pro Forma'!G9</f>
        <v>0</v>
      </c>
      <c r="H965" s="2643" t="s">
        <v>2371</v>
      </c>
      <c r="K965" s="2645">
        <f>'Part VII-Pro Forma'!K9</f>
        <v>0</v>
      </c>
    </row>
    <row r="967" spans="1:19">
      <c r="A967" s="2547" t="s">
        <v>92</v>
      </c>
      <c r="D967" s="2545"/>
    </row>
    <row r="969" spans="1:19">
      <c r="A969" s="2547" t="s">
        <v>2495</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2419</v>
      </c>
      <c r="B970" s="2646">
        <f>'Part VI-Revenues &amp; Expenses'!$L$49</f>
        <v>240384</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4242</v>
      </c>
    </row>
    <row r="971" spans="1:19">
      <c r="A971" s="683" t="s">
        <v>1025</v>
      </c>
      <c r="B971" s="2646">
        <f>MIN(B970*B965,'Part VI-Revenues &amp; Expenses'!$H$122)</f>
        <v>4807.68</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2420</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3918</v>
      </c>
      <c r="R972" s="683" t="s">
        <v>4241</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619</v>
      </c>
      <c r="B975" s="2646">
        <f>-('Part VI-Revenues &amp; Expenses'!$P$175-'Part VI-Revenues &amp; Expenses'!$P$170)</f>
        <v>-129634</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4069</v>
      </c>
      <c r="S975" s="683">
        <v>55402.262400000007</v>
      </c>
    </row>
    <row r="976" spans="1:19">
      <c r="A976" s="683" t="s">
        <v>1124</v>
      </c>
      <c r="B976" s="2646">
        <f>IF(AND('Part VII-Pro Forma'!$G$8="Yes",'Part VII-Pro Forma'!$G$9="Yes"),"Choose One!",IF('Part VII-Pro Forma'!$G$8="Yes",ROUND((-$K$8*(1+'Part VII-Pro Forma'!$B$6)^('Part VII-Pro Forma'!B969-1)),),IF('Part VII-Pro Forma'!$G$9="Yes",ROUND((-(SUM(B970:B973)*'Part VII-Pro Forma'!$K$9)),),"Choose mgt fee")))</f>
        <v>0</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4069</v>
      </c>
      <c r="S976" s="683">
        <v>110246.07004800002</v>
      </c>
    </row>
    <row r="977" spans="1:19">
      <c r="A977" s="683" t="s">
        <v>1213</v>
      </c>
      <c r="B977" s="2646">
        <f>-('Part VI-Revenues &amp; Expenses'!$P$179)</f>
        <v>-16800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4069</v>
      </c>
      <c r="S977" s="683">
        <v>164469.84364896006</v>
      </c>
    </row>
    <row r="978" spans="1:19">
      <c r="A978" s="683" t="s">
        <v>1214</v>
      </c>
      <c r="B978" s="2646">
        <f t="shared" ref="B978:K978" si="285">SUM(B970:B977)</f>
        <v>98757.68</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4069</v>
      </c>
      <c r="S978" s="683">
        <v>218007.87441593924</v>
      </c>
    </row>
    <row r="979" spans="1:19">
      <c r="A979" s="683" t="s">
        <v>1602</v>
      </c>
      <c r="B979" s="2646">
        <f>'Part VII-Pro Forma'!B23</f>
        <v>0</v>
      </c>
      <c r="C979" s="2646">
        <f>'Part VII-Pro Forma'!C23</f>
        <v>0</v>
      </c>
      <c r="D979" s="2646">
        <f>'Part VII-Pro Forma'!D23</f>
        <v>0</v>
      </c>
      <c r="E979" s="2646">
        <f>'Part VII-Pro Forma'!E23</f>
        <v>0</v>
      </c>
      <c r="F979" s="2646">
        <f>'Part VII-Pro Forma'!F23</f>
        <v>0</v>
      </c>
      <c r="G979" s="2646">
        <f>'Part VII-Pro Forma'!G23</f>
        <v>0</v>
      </c>
      <c r="H979" s="2646">
        <f>'Part VII-Pro Forma'!H23</f>
        <v>0</v>
      </c>
      <c r="I979" s="2646">
        <f>'Part VII-Pro Forma'!I23</f>
        <v>0</v>
      </c>
      <c r="J979" s="2646">
        <f>'Part VII-Pro Forma'!J23</f>
        <v>0</v>
      </c>
      <c r="K979" s="2646">
        <f>'Part VII-Pro Forma'!K23</f>
        <v>0</v>
      </c>
      <c r="Q979" s="683">
        <v>5</v>
      </c>
      <c r="R979" s="683">
        <v>4069</v>
      </c>
      <c r="S979" s="683">
        <v>270792.24194307806</v>
      </c>
    </row>
    <row r="980" spans="1:19">
      <c r="A980" s="683" t="s">
        <v>1603</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4069</v>
      </c>
      <c r="S980" s="683">
        <v>322751.72924992425</v>
      </c>
    </row>
    <row r="981" spans="1:19">
      <c r="A981" s="683" t="s">
        <v>1604</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4069</v>
      </c>
      <c r="S981" s="683">
        <v>373811.73490494688</v>
      </c>
    </row>
    <row r="982" spans="1:19">
      <c r="A982" s="683" t="s">
        <v>3884</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4069</v>
      </c>
      <c r="S982" s="683">
        <v>423896.1821331706</v>
      </c>
    </row>
    <row r="983" spans="1:19">
      <c r="A983" s="683" t="s">
        <v>770</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4069</v>
      </c>
      <c r="S983" s="683">
        <v>472923.42480986263</v>
      </c>
    </row>
    <row r="984" spans="1:19">
      <c r="A984" s="683" t="s">
        <v>1173</v>
      </c>
      <c r="B984" s="2646">
        <f>'Part VII-Pro Forma'!B28</f>
        <v>-2000</v>
      </c>
      <c r="C984" s="2646">
        <f>'Part VII-Pro Forma'!C28</f>
        <v>-2000</v>
      </c>
      <c r="D984" s="2646">
        <f>'Part VII-Pro Forma'!D28</f>
        <v>-2000</v>
      </c>
      <c r="E984" s="2646">
        <f>'Part VII-Pro Forma'!E28</f>
        <v>-2000</v>
      </c>
      <c r="F984" s="2646">
        <f>'Part VII-Pro Forma'!F28</f>
        <v>-2000</v>
      </c>
      <c r="G984" s="2646">
        <f>'Part VII-Pro Forma'!G28</f>
        <v>-2000</v>
      </c>
      <c r="H984" s="2646">
        <f>'Part VII-Pro Forma'!H28</f>
        <v>-2000</v>
      </c>
      <c r="I984" s="2646">
        <f>'Part VII-Pro Forma'!I28</f>
        <v>-2000</v>
      </c>
      <c r="J984" s="2646">
        <f>'Part VII-Pro Forma'!J28</f>
        <v>-2000</v>
      </c>
      <c r="K984" s="2646">
        <f>'Part VII-Pro Forma'!K28</f>
        <v>-2000</v>
      </c>
      <c r="Q984" s="683">
        <v>10</v>
      </c>
      <c r="R984" s="683">
        <v>4069</v>
      </c>
      <c r="S984" s="683">
        <v>520810.15023910935</v>
      </c>
    </row>
    <row r="985" spans="1:19">
      <c r="A985" s="683" t="s">
        <v>4133</v>
      </c>
      <c r="B985" s="2646">
        <f>'Part VII-Pro Forma'!B29</f>
        <v>-4069</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4069</v>
      </c>
      <c r="S985" s="683">
        <v>571468.27861293254</v>
      </c>
    </row>
    <row r="986" spans="1:19">
      <c r="A986" s="683" t="s">
        <v>1174</v>
      </c>
      <c r="B986" s="2646">
        <f>SUM(B978:B985)</f>
        <v>92688.68</v>
      </c>
      <c r="C986" s="2646">
        <f t="shared" ref="C986:K986" si="286">SUM(C978:C985)</f>
        <v>-2000</v>
      </c>
      <c r="D986" s="2646">
        <f t="shared" si="286"/>
        <v>-2000</v>
      </c>
      <c r="E986" s="2646">
        <f t="shared" si="286"/>
        <v>-2000</v>
      </c>
      <c r="F986" s="2646">
        <f t="shared" si="286"/>
        <v>-2000</v>
      </c>
      <c r="G986" s="2646">
        <f t="shared" si="286"/>
        <v>-2000</v>
      </c>
      <c r="H986" s="2646">
        <f t="shared" si="286"/>
        <v>-2000</v>
      </c>
      <c r="I986" s="2646">
        <f t="shared" si="286"/>
        <v>-2000</v>
      </c>
      <c r="J986" s="2646">
        <f t="shared" si="286"/>
        <v>-2000</v>
      </c>
      <c r="K986" s="2646">
        <f t="shared" si="286"/>
        <v>-2000</v>
      </c>
      <c r="Q986" s="683">
        <v>12</v>
      </c>
      <c r="R986" s="683">
        <v>4069</v>
      </c>
      <c r="S986" s="683">
        <v>620806.8590433033</v>
      </c>
    </row>
    <row r="987" spans="1:19">
      <c r="A987" s="683" t="str">
        <f>IF('Part III-Sources of Funds'!$E$37 = "Neither", "", "DCR Mortgage A")</f>
        <v>DCR Mortgage A</v>
      </c>
      <c r="B987" s="2647" t="str">
        <f t="shared" ref="B987:K987" si="287">IF(B979=0,"",-B978/B979)</f>
        <v/>
      </c>
      <c r="C987" s="2647" t="str">
        <f t="shared" si="287"/>
        <v/>
      </c>
      <c r="D987" s="2647" t="str">
        <f t="shared" si="287"/>
        <v/>
      </c>
      <c r="E987" s="2647" t="str">
        <f t="shared" si="287"/>
        <v/>
      </c>
      <c r="F987" s="2647" t="str">
        <f t="shared" si="287"/>
        <v/>
      </c>
      <c r="G987" s="2647" t="str">
        <f t="shared" si="287"/>
        <v/>
      </c>
      <c r="H987" s="2647" t="str">
        <f t="shared" si="287"/>
        <v/>
      </c>
      <c r="I987" s="2647" t="str">
        <f t="shared" si="287"/>
        <v/>
      </c>
      <c r="J987" s="2647" t="str">
        <f t="shared" si="287"/>
        <v/>
      </c>
      <c r="K987" s="2647" t="str">
        <f t="shared" si="287"/>
        <v/>
      </c>
      <c r="Q987" s="683">
        <v>13</v>
      </c>
      <c r="R987" s="683">
        <v>4069</v>
      </c>
      <c r="S987" s="683">
        <v>668729.96205602493</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4069</v>
      </c>
      <c r="S988" s="683">
        <v>715138.56843195669</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4069</v>
      </c>
      <c r="S989" s="683">
        <v>759929.45427745138</v>
      </c>
    </row>
    <row r="990" spans="1:19">
      <c r="A990" s="683" t="s">
        <v>790</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4069</v>
      </c>
      <c r="S990" s="683">
        <v>802996.07220216142</v>
      </c>
    </row>
    <row r="991" spans="1:19">
      <c r="A991" s="683" t="s">
        <v>3741</v>
      </c>
      <c r="B991" s="2647" t="str">
        <f t="shared" ref="B991:K991" si="291">IF(AND(B979=0,B980=0,B981=0,B982=0),"",-B978/(B979+B980+B981+B982))</f>
        <v/>
      </c>
      <c r="C991" s="2647" t="str">
        <f t="shared" si="291"/>
        <v/>
      </c>
      <c r="D991" s="2647" t="str">
        <f t="shared" si="291"/>
        <v/>
      </c>
      <c r="E991" s="2647" t="str">
        <f t="shared" si="291"/>
        <v/>
      </c>
      <c r="F991" s="2647" t="str">
        <f t="shared" si="291"/>
        <v/>
      </c>
      <c r="G991" s="2647" t="str">
        <f t="shared" si="291"/>
        <v/>
      </c>
      <c r="H991" s="2647" t="str">
        <f t="shared" si="291"/>
        <v/>
      </c>
      <c r="I991" s="2647" t="str">
        <f t="shared" si="291"/>
        <v/>
      </c>
      <c r="J991" s="2647" t="str">
        <f t="shared" si="291"/>
        <v/>
      </c>
      <c r="K991" s="2647" t="str">
        <f t="shared" si="291"/>
        <v/>
      </c>
      <c r="Q991" s="683">
        <v>17</v>
      </c>
      <c r="R991" s="683">
        <v>4069</v>
      </c>
      <c r="S991" s="683">
        <v>844225.42847854085</v>
      </c>
    </row>
    <row r="992" spans="1:19">
      <c r="A992" s="683" t="s">
        <v>777</v>
      </c>
      <c r="B992" s="2648">
        <f t="shared" ref="B992:K992" si="292">IF(OR(B976="Choose mgt fee",B976="Choose One!"),"",(B970+B971+B972+B973+B974) / -(B975+B976+B977))</f>
        <v>1.6744176898807654</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4069</v>
      </c>
      <c r="S992" s="683">
        <v>883500.95605341787</v>
      </c>
    </row>
    <row r="993" spans="1:19">
      <c r="A993" s="683" t="s">
        <v>2633</v>
      </c>
      <c r="B993" s="2646" t="str">
        <f>'Part VII-Pro Forma'!B37</f>
        <v/>
      </c>
      <c r="C993" s="2646" t="str">
        <f>'Part VII-Pro Forma'!C37</f>
        <v/>
      </c>
      <c r="D993" s="2646" t="str">
        <f>'Part VII-Pro Forma'!D37</f>
        <v/>
      </c>
      <c r="E993" s="2646" t="str">
        <f>'Part VII-Pro Forma'!E37</f>
        <v/>
      </c>
      <c r="F993" s="2646" t="str">
        <f>'Part VII-Pro Forma'!F37</f>
        <v/>
      </c>
      <c r="G993" s="2646" t="str">
        <f>'Part VII-Pro Forma'!G37</f>
        <v/>
      </c>
      <c r="H993" s="2646" t="str">
        <f>'Part VII-Pro Forma'!H37</f>
        <v/>
      </c>
      <c r="I993" s="2646" t="str">
        <f>'Part VII-Pro Forma'!I37</f>
        <v/>
      </c>
      <c r="J993" s="2646" t="str">
        <f>'Part VII-Pro Forma'!J37</f>
        <v/>
      </c>
      <c r="K993" s="2646" t="str">
        <f>'Part VII-Pro Forma'!K37</f>
        <v/>
      </c>
      <c r="Q993" s="683">
        <v>19</v>
      </c>
      <c r="R993" s="683">
        <v>4069</v>
      </c>
      <c r="S993" s="683">
        <v>920702.38327795151</v>
      </c>
    </row>
    <row r="994" spans="1:19">
      <c r="A994" s="683" t="s">
        <v>2634</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4069</v>
      </c>
      <c r="S994" s="683">
        <v>955702.59821807989</v>
      </c>
    </row>
    <row r="995" spans="1:19">
      <c r="A995" s="683" t="s">
        <v>2635</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791</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4134</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2495</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2419</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1025</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2420</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619</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1124</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1213</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1214</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0</v>
      </c>
      <c r="C1009" s="2646">
        <f>'Part VII-Pro Forma'!C53</f>
        <v>0</v>
      </c>
      <c r="D1009" s="2646">
        <f>'Part VII-Pro Forma'!D53</f>
        <v>0</v>
      </c>
      <c r="E1009" s="2646">
        <f>'Part VII-Pro Forma'!E53</f>
        <v>0</v>
      </c>
      <c r="F1009" s="2646">
        <f>'Part VII-Pro Forma'!F53</f>
        <v>0</v>
      </c>
      <c r="G1009" s="2646">
        <f>'Part VII-Pro Forma'!G53</f>
        <v>0</v>
      </c>
      <c r="H1009" s="2646">
        <f>'Part VII-Pro Forma'!H53</f>
        <v>0</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770</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1173</v>
      </c>
      <c r="B1014" s="2646">
        <f>'Part VII-Pro Forma'!B58</f>
        <v>2000</v>
      </c>
      <c r="C1014" s="2646">
        <f>'Part VII-Pro Forma'!C58</f>
        <v>2000</v>
      </c>
      <c r="D1014" s="2646">
        <f>'Part VII-Pro Forma'!D58</f>
        <v>2000</v>
      </c>
      <c r="E1014" s="2646">
        <f>'Part VII-Pro Forma'!E58</f>
        <v>2000</v>
      </c>
      <c r="F1014" s="2646">
        <f>'Part VII-Pro Forma'!F58</f>
        <v>2000</v>
      </c>
      <c r="G1014" s="2646">
        <f>'Part VII-Pro Forma'!G58</f>
        <v>2000</v>
      </c>
      <c r="H1014" s="2646">
        <f>'Part VII-Pro Forma'!H58</f>
        <v>2000</v>
      </c>
      <c r="I1014" s="2646">
        <f>'Part VII-Pro Forma'!I58</f>
        <v>2000</v>
      </c>
      <c r="J1014" s="2646">
        <f>'Part VII-Pro Forma'!J58</f>
        <v>2000</v>
      </c>
      <c r="K1014" s="2646">
        <f>'Part VII-Pro Forma'!K58</f>
        <v>2000</v>
      </c>
    </row>
    <row r="1015" spans="1:11">
      <c r="A1015" s="683" t="s">
        <v>4133</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1174</v>
      </c>
      <c r="B1016" s="2646">
        <f>SUM(B1008:B1015)</f>
        <v>2000</v>
      </c>
      <c r="C1016" s="2646">
        <f t="shared" ref="C1016:K1016" si="300">SUM(C1008:C1015)</f>
        <v>2000</v>
      </c>
      <c r="D1016" s="2646">
        <f t="shared" si="300"/>
        <v>2000</v>
      </c>
      <c r="E1016" s="2646">
        <f t="shared" si="300"/>
        <v>2000</v>
      </c>
      <c r="F1016" s="2646">
        <f t="shared" si="300"/>
        <v>2000</v>
      </c>
      <c r="G1016" s="2646">
        <f t="shared" si="300"/>
        <v>2000</v>
      </c>
      <c r="H1016" s="2646">
        <f t="shared" si="300"/>
        <v>2000</v>
      </c>
      <c r="I1016" s="2646">
        <f t="shared" si="300"/>
        <v>2000</v>
      </c>
      <c r="J1016" s="2646">
        <f t="shared" si="300"/>
        <v>2000</v>
      </c>
      <c r="K1016" s="2646">
        <f t="shared" si="300"/>
        <v>2000</v>
      </c>
    </row>
    <row r="1017" spans="1:11">
      <c r="A1017" s="683" t="str">
        <f>$A987</f>
        <v>DCR Mortgage A</v>
      </c>
      <c r="B1017" s="2647" t="str">
        <f t="shared" ref="B1017:K1017" si="301">IF(B1009=0,"",-B1008/B1009)</f>
        <v/>
      </c>
      <c r="C1017" s="2647" t="str">
        <f t="shared" si="301"/>
        <v/>
      </c>
      <c r="D1017" s="2647" t="str">
        <f t="shared" si="301"/>
        <v/>
      </c>
      <c r="E1017" s="2647" t="str">
        <f t="shared" si="301"/>
        <v/>
      </c>
      <c r="F1017" s="2647" t="str">
        <f t="shared" si="301"/>
        <v/>
      </c>
      <c r="G1017" s="2647" t="str">
        <f t="shared" si="301"/>
        <v/>
      </c>
      <c r="H1017" s="2647" t="str">
        <f t="shared" si="301"/>
        <v/>
      </c>
      <c r="I1017" s="2647" t="str">
        <f t="shared" si="301"/>
        <v/>
      </c>
      <c r="J1017" s="2647" t="str">
        <f t="shared" si="301"/>
        <v/>
      </c>
      <c r="K1017" s="2647" t="str">
        <f t="shared" si="301"/>
        <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3741</v>
      </c>
      <c r="B1021" s="2647" t="str">
        <f t="shared" ref="B1021:K1021" si="305">IF(AND(B1009=0,B1010=0,B1011=0,B1012=0),"",-B1008/(B1009+B1010+B1011+B1012))</f>
        <v/>
      </c>
      <c r="C1021" s="2647" t="str">
        <f t="shared" si="305"/>
        <v/>
      </c>
      <c r="D1021" s="2647" t="str">
        <f t="shared" si="305"/>
        <v/>
      </c>
      <c r="E1021" s="2647" t="str">
        <f t="shared" si="305"/>
        <v/>
      </c>
      <c r="F1021" s="2647" t="str">
        <f t="shared" si="305"/>
        <v/>
      </c>
      <c r="G1021" s="2647" t="str">
        <f t="shared" si="305"/>
        <v/>
      </c>
      <c r="H1021" s="2647" t="str">
        <f t="shared" si="305"/>
        <v/>
      </c>
      <c r="I1021" s="2647" t="str">
        <f t="shared" si="305"/>
        <v/>
      </c>
      <c r="J1021" s="2647" t="str">
        <f t="shared" si="305"/>
        <v/>
      </c>
      <c r="K1021" s="2647" t="str">
        <f t="shared" si="305"/>
        <v/>
      </c>
    </row>
    <row r="1022" spans="1:11">
      <c r="A1022" s="683" t="s">
        <v>777</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2633</v>
      </c>
      <c r="B1023" s="2646" t="str">
        <f>'Part VII-Pro Forma'!B67</f>
        <v/>
      </c>
      <c r="C1023" s="2646" t="str">
        <f>'Part VII-Pro Forma'!C67</f>
        <v/>
      </c>
      <c r="D1023" s="2646" t="str">
        <f>'Part VII-Pro Forma'!D67</f>
        <v/>
      </c>
      <c r="E1023" s="2646" t="str">
        <f>'Part VII-Pro Forma'!E67</f>
        <v/>
      </c>
      <c r="F1023" s="2646" t="str">
        <f>'Part VII-Pro Forma'!F67</f>
        <v/>
      </c>
      <c r="G1023" s="2646" t="str">
        <f>'Part VII-Pro Forma'!G67</f>
        <v/>
      </c>
      <c r="H1023" s="2646" t="str">
        <f>'Part VII-Pro Forma'!H67</f>
        <v/>
      </c>
      <c r="I1023" s="2646" t="str">
        <f>'Part VII-Pro Forma'!I67</f>
        <v/>
      </c>
      <c r="J1023" s="2646" t="str">
        <f>'Part VII-Pro Forma'!J67</f>
        <v/>
      </c>
      <c r="K1023" s="2646" t="str">
        <f>'Part VII-Pro Forma'!K67</f>
        <v/>
      </c>
    </row>
    <row r="1024" spans="1:11">
      <c r="A1024" s="683" t="s">
        <v>2634</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2635</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791</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4134</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2495</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2419</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1025</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2420</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619</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1124</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1213</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1214</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770</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1173</v>
      </c>
      <c r="B1044" s="2646">
        <f>'Part VII-Pro Forma'!B88</f>
        <v>2000</v>
      </c>
      <c r="C1044" s="2646">
        <f>'Part VII-Pro Forma'!C88</f>
        <v>2000</v>
      </c>
      <c r="D1044" s="2646">
        <f>'Part VII-Pro Forma'!D88</f>
        <v>2000</v>
      </c>
      <c r="E1044" s="2646">
        <f>'Part VII-Pro Forma'!E88</f>
        <v>2000</v>
      </c>
      <c r="F1044" s="2646">
        <f>'Part VII-Pro Forma'!F88</f>
        <v>2000</v>
      </c>
      <c r="G1044" s="2646">
        <f>'Part VII-Pro Forma'!G88</f>
        <v>2000</v>
      </c>
      <c r="H1044" s="2646">
        <f>'Part VII-Pro Forma'!H88</f>
        <v>2000</v>
      </c>
      <c r="I1044" s="2646">
        <f>'Part VII-Pro Forma'!I88</f>
        <v>2000</v>
      </c>
      <c r="J1044" s="2646">
        <f>'Part VII-Pro Forma'!J88</f>
        <v>2000</v>
      </c>
      <c r="K1044" s="2646">
        <f>'Part VII-Pro Forma'!K88</f>
        <v>2000</v>
      </c>
    </row>
    <row r="1045" spans="1:11">
      <c r="A1045" s="683" t="s">
        <v>1174</v>
      </c>
      <c r="B1045" s="2646">
        <f t="shared" ref="B1045:K1045" si="314">SUM(B1038:B1044)</f>
        <v>2000</v>
      </c>
      <c r="C1045" s="2646">
        <f t="shared" si="314"/>
        <v>2000</v>
      </c>
      <c r="D1045" s="2646">
        <f t="shared" si="314"/>
        <v>2000</v>
      </c>
      <c r="E1045" s="2646">
        <f t="shared" si="314"/>
        <v>2000</v>
      </c>
      <c r="F1045" s="2646">
        <f t="shared" si="314"/>
        <v>2000</v>
      </c>
      <c r="G1045" s="2646">
        <f t="shared" si="314"/>
        <v>2000</v>
      </c>
      <c r="H1045" s="2646">
        <f t="shared" si="314"/>
        <v>2000</v>
      </c>
      <c r="I1045" s="2646">
        <f t="shared" si="314"/>
        <v>2000</v>
      </c>
      <c r="J1045" s="2646">
        <f t="shared" si="314"/>
        <v>2000</v>
      </c>
      <c r="K1045" s="2646">
        <f t="shared" si="314"/>
        <v>2000</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3741</v>
      </c>
      <c r="B1050" s="2647" t="str">
        <f>IF(AND(B1039=0,B1040=0,B1041=0,B1042=0),"",-B1038/(B1039+B1040+B1041+B1042))</f>
        <v/>
      </c>
      <c r="C1050" s="2647" t="str">
        <f t="shared" ref="C1050:K1050" si="319">IF(AND(C1039=0,C1040=0,C1041=0,C1042=0),"",-C1038/(C1039+C1040+C1041+C1042))</f>
        <v/>
      </c>
      <c r="D1050" s="2647" t="str">
        <f t="shared" si="319"/>
        <v/>
      </c>
      <c r="E1050" s="2647" t="str">
        <f t="shared" si="319"/>
        <v/>
      </c>
      <c r="F1050" s="2647" t="str">
        <f t="shared" si="319"/>
        <v/>
      </c>
      <c r="G1050" s="2647" t="str">
        <f t="shared" si="319"/>
        <v/>
      </c>
      <c r="H1050" s="2647" t="str">
        <f t="shared" si="319"/>
        <v/>
      </c>
      <c r="I1050" s="2647" t="str">
        <f t="shared" si="319"/>
        <v/>
      </c>
      <c r="J1050" s="2647" t="str">
        <f t="shared" si="319"/>
        <v/>
      </c>
      <c r="K1050" s="2647" t="str">
        <f t="shared" si="319"/>
        <v/>
      </c>
    </row>
    <row r="1051" spans="1:11">
      <c r="A1051" s="683" t="s">
        <v>777</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2633</v>
      </c>
      <c r="B1052" s="2646" t="str">
        <f>'Part VII-Pro Forma'!B96</f>
        <v/>
      </c>
      <c r="C1052" s="2646" t="str">
        <f>'Part VII-Pro Forma'!C96</f>
        <v/>
      </c>
      <c r="D1052" s="2646" t="str">
        <f>'Part VII-Pro Forma'!D96</f>
        <v/>
      </c>
      <c r="E1052" s="2646" t="str">
        <f>'Part VII-Pro Forma'!E96</f>
        <v/>
      </c>
      <c r="F1052" s="2646" t="str">
        <f>'Part VII-Pro Forma'!F96</f>
        <v/>
      </c>
      <c r="G1052" s="2646" t="str">
        <f>'Part VII-Pro Forma'!G96</f>
        <v/>
      </c>
      <c r="H1052" s="2646" t="str">
        <f>'Part VII-Pro Forma'!H96</f>
        <v/>
      </c>
      <c r="I1052" s="2646" t="str">
        <f>'Part VII-Pro Forma'!I96</f>
        <v/>
      </c>
      <c r="J1052" s="2646" t="str">
        <f>'Part VII-Pro Forma'!J96</f>
        <v/>
      </c>
      <c r="K1052" s="2646" t="str">
        <f>'Part VII-Pro Forma'!K96</f>
        <v/>
      </c>
    </row>
    <row r="1053" spans="1:11">
      <c r="A1053" s="683" t="s">
        <v>2634</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2635</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791</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2495</v>
      </c>
      <c r="B1057" s="2649">
        <f>K1029+1</f>
        <v>31</v>
      </c>
      <c r="C1057" s="2649">
        <f>B1057+1</f>
        <v>32</v>
      </c>
      <c r="D1057" s="2649">
        <f>C1057+1</f>
        <v>33</v>
      </c>
      <c r="E1057" s="2649">
        <f>D1057+1</f>
        <v>34</v>
      </c>
      <c r="F1057" s="2649">
        <f>E1057+1</f>
        <v>35</v>
      </c>
      <c r="G1057" s="2646"/>
      <c r="H1057" s="2646"/>
      <c r="I1057" s="2646"/>
      <c r="J1057" s="2646"/>
      <c r="K1057" s="2646"/>
    </row>
    <row r="1058" spans="1:11">
      <c r="A1058" s="683" t="s">
        <v>2419</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1025</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2420</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619</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1124</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1213</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1214</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770</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1173</v>
      </c>
      <c r="B1072" s="2646">
        <f>'Part VII-Pro Forma'!B116</f>
        <v>2000</v>
      </c>
      <c r="C1072" s="2646">
        <f>'Part VII-Pro Forma'!C116</f>
        <v>2000</v>
      </c>
      <c r="D1072" s="2646">
        <f>'Part VII-Pro Forma'!D116</f>
        <v>2000</v>
      </c>
      <c r="E1072" s="2646">
        <f>'Part VII-Pro Forma'!E116</f>
        <v>2000</v>
      </c>
      <c r="F1072" s="2646">
        <f>'Part VII-Pro Forma'!F116</f>
        <v>2000</v>
      </c>
      <c r="G1072" s="2646"/>
      <c r="H1072" s="2646"/>
      <c r="I1072" s="2646"/>
      <c r="J1072" s="2646"/>
      <c r="K1072" s="2646"/>
    </row>
    <row r="1073" spans="1:11">
      <c r="A1073" s="683" t="s">
        <v>1174</v>
      </c>
      <c r="B1073" s="2646">
        <f>SUM(B1066:B1072)</f>
        <v>2000</v>
      </c>
      <c r="C1073" s="2646">
        <f>SUM(C1066:C1072)</f>
        <v>2000</v>
      </c>
      <c r="D1073" s="2646">
        <f>SUM(D1066:D1072)</f>
        <v>2000</v>
      </c>
      <c r="E1073" s="2646">
        <f>SUM(E1066:E1072)</f>
        <v>2000</v>
      </c>
      <c r="F1073" s="2646">
        <f>SUM(F1066:F1072)</f>
        <v>2000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3741</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777</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2633</v>
      </c>
      <c r="B1080" s="2646" t="str">
        <f>'Part VII-Pro Forma'!B124</f>
        <v/>
      </c>
      <c r="C1080" s="2646" t="str">
        <f>'Part VII-Pro Forma'!C124</f>
        <v/>
      </c>
      <c r="D1080" s="2646" t="str">
        <f>'Part VII-Pro Forma'!D124</f>
        <v/>
      </c>
      <c r="E1080" s="2646" t="str">
        <f>'Part VII-Pro Forma'!E124</f>
        <v/>
      </c>
      <c r="F1080" s="2646" t="str">
        <f>'Part VII-Pro Forma'!F124</f>
        <v/>
      </c>
      <c r="G1080" s="2646"/>
      <c r="H1080" s="2646"/>
      <c r="I1080" s="2646"/>
      <c r="J1080" s="2646"/>
      <c r="K1080" s="2646"/>
    </row>
    <row r="1081" spans="1:11">
      <c r="A1081" s="683" t="s">
        <v>2634</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2635</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791</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575</v>
      </c>
      <c r="B1085" s="2547"/>
      <c r="G1085" s="2547" t="s">
        <v>1040</v>
      </c>
    </row>
    <row r="1086" spans="1:11">
      <c r="B1086" s="2551"/>
    </row>
    <row r="1087" spans="1:11" ht="12.75" customHeight="1">
      <c r="A1087" s="2423" t="str">
        <f>'Part VII-Pro Forma'!A131</f>
        <v xml:space="preserve">Repayment of the small deferred developer fee is paid in year 1.  The proforma shows a 1.17 operating expense ratio for the year 15 which is in line with the DCA requirement for non debt projects.  The project has shown over time that local incomes have fallen while utility costs have gone up .  We do not feel the property can afford hard debt without substantially reducing its chance of success over the long run. </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2018-032 Hillcrest Apartments,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943</v>
      </c>
      <c r="P1097" s="2567"/>
      <c r="Q1097" s="2568" t="s">
        <v>1856</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571</v>
      </c>
      <c r="J1100" s="2653" t="s">
        <v>4774</v>
      </c>
      <c r="K1100" s="2653"/>
      <c r="L1100" s="2653"/>
      <c r="M1100" s="2653"/>
      <c r="N1100" s="2653"/>
      <c r="O1100" s="2653"/>
      <c r="P1100" s="2654">
        <f>'Part VIII-Threshold Criteria'!P6</f>
        <v>0</v>
      </c>
      <c r="Q1100" s="2654">
        <f>'Part VIII-Threshold Criteria'!Q6</f>
        <v>0</v>
      </c>
    </row>
    <row r="1101" spans="1:17">
      <c r="A1101" s="2655" t="s">
        <v>3472</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621</v>
      </c>
      <c r="B1123" s="2657" t="s">
        <v>2667</v>
      </c>
      <c r="C1123" s="2658"/>
      <c r="D1123" s="2659"/>
      <c r="E1123" s="2659"/>
      <c r="F1123" s="2659"/>
      <c r="G1123" s="2659"/>
      <c r="I1123" s="2660"/>
      <c r="J1123" s="2660"/>
      <c r="K1123" s="2660"/>
      <c r="L1123" s="2562"/>
      <c r="M1123" s="2562"/>
      <c r="O1123" s="2661" t="s">
        <v>1880</v>
      </c>
      <c r="P1123" s="2570">
        <f>'Part VIII-Threshold Criteria'!P29</f>
        <v>0</v>
      </c>
      <c r="Q1123" s="2570">
        <f>'Part VIII-Threshold Criteria'!Q29</f>
        <v>0</v>
      </c>
    </row>
    <row r="1125" spans="1:17">
      <c r="B1125" s="2626" t="s">
        <v>3783</v>
      </c>
      <c r="C1125" s="2626"/>
      <c r="D1125" s="2626"/>
      <c r="E1125" s="2626"/>
      <c r="F1125" s="2626"/>
      <c r="G1125" s="2660"/>
      <c r="H1125" s="2660"/>
      <c r="I1125" s="2660"/>
      <c r="J1125" s="2660"/>
      <c r="K1125" s="2562"/>
      <c r="L1125" s="2562"/>
      <c r="M1125" s="2562"/>
      <c r="N1125" s="2562"/>
      <c r="O1125" s="2562"/>
      <c r="P1125" s="2562"/>
    </row>
    <row r="1126" spans="1:17" ht="393.75">
      <c r="A1126" s="2662" t="str">
        <f>'Part VIII-Threshold Criteria'!A32</f>
        <v>The project meets all required feasibility, including construction costs, operating expense and required amenities, environmental requirements and fair housing issues including affirmative fair housing and accessibility.  This application received a  Rural HOME Set Aside consent and this is a 1995 HOME tax credit project that is to be rehabed.</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1879</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747</v>
      </c>
      <c r="B1130" s="2544" t="s">
        <v>2728</v>
      </c>
      <c r="C1130" s="2544"/>
      <c r="D1130" s="2544"/>
      <c r="E1130" s="2665"/>
      <c r="G1130" s="2570"/>
      <c r="H1130" s="2570"/>
      <c r="I1130" s="2570"/>
      <c r="J1130" s="2355"/>
      <c r="L1130" s="2666"/>
      <c r="M1130" s="2666"/>
      <c r="N1130" s="2666"/>
      <c r="O1130" s="2661" t="s">
        <v>1880</v>
      </c>
      <c r="P1130" s="2570">
        <f>'Part VIII-Threshold Criteria'!P36</f>
        <v>0</v>
      </c>
      <c r="Q1130" s="2570">
        <f>'Part VIII-Threshold Criteria'!Q36</f>
        <v>0</v>
      </c>
    </row>
    <row r="1131" spans="1:17" ht="12.75" customHeight="1">
      <c r="A1131" s="2667" t="s">
        <v>4775</v>
      </c>
      <c r="B1131" s="2667"/>
      <c r="C1131" s="2667"/>
      <c r="D1131" s="2667"/>
      <c r="E1131" s="2667"/>
      <c r="F1131" s="2667"/>
      <c r="G1131" s="2474" t="s">
        <v>2732</v>
      </c>
      <c r="H1131" s="2474"/>
      <c r="I1131" s="2659"/>
      <c r="J1131" s="2355"/>
      <c r="K1131" s="2659" t="s">
        <v>3661</v>
      </c>
      <c r="L1131" s="2659"/>
      <c r="M1131" s="2659"/>
      <c r="N1131" s="2659"/>
    </row>
    <row r="1132" spans="1:17" ht="13.5">
      <c r="A1132" s="2667"/>
      <c r="B1132" s="2667"/>
      <c r="C1132" s="2667"/>
      <c r="D1132" s="2667"/>
      <c r="E1132" s="2667"/>
      <c r="F1132" s="2667"/>
      <c r="G1132" s="2474" t="s">
        <v>348</v>
      </c>
      <c r="H1132" s="2474"/>
      <c r="I1132" s="2659"/>
      <c r="J1132" s="2355"/>
      <c r="K1132" s="478" t="s">
        <v>3662</v>
      </c>
      <c r="L1132" s="478"/>
      <c r="M1132" s="478"/>
      <c r="N1132" s="478"/>
      <c r="P1132" s="2487" t="s">
        <v>2752</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2731</v>
      </c>
      <c r="F1134" s="2670" t="s">
        <v>3475</v>
      </c>
      <c r="G1134" s="2670" t="s">
        <v>3474</v>
      </c>
      <c r="H1134" s="2670"/>
      <c r="I1134" s="2670"/>
      <c r="K1134" s="2670" t="s">
        <v>3475</v>
      </c>
      <c r="L1134" s="2670" t="s">
        <v>3474</v>
      </c>
      <c r="M1134" s="2670"/>
      <c r="N1134" s="2670"/>
    </row>
    <row r="1135" spans="1:17" ht="12.75" customHeight="1">
      <c r="A1135" s="2671" t="s">
        <v>3379</v>
      </c>
      <c r="B1135" s="2671"/>
      <c r="C1135" s="2671"/>
      <c r="D1135" s="2672" t="s">
        <v>572</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3926</v>
      </c>
      <c r="Q1135" s="2558"/>
    </row>
    <row r="1136" spans="1:17" ht="12.75" customHeight="1">
      <c r="A1136" s="2671"/>
      <c r="B1136" s="2671"/>
      <c r="C1136" s="2671"/>
      <c r="D1136" s="2672" t="s">
        <v>2455</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Macon</v>
      </c>
      <c r="Q1136" s="2676">
        <f>'Part VIII-Threshold Criteria'!Q42</f>
        <v>0</v>
      </c>
    </row>
    <row r="1137" spans="1:17">
      <c r="A1137" s="2671"/>
      <c r="B1137" s="2671"/>
      <c r="C1137" s="2671"/>
      <c r="D1137" s="2672" t="s">
        <v>2456</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2457</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3658</v>
      </c>
      <c r="Q1138" s="2627"/>
    </row>
    <row r="1139" spans="1:17" ht="12.75" customHeight="1">
      <c r="C1139" s="2355"/>
      <c r="D1139" s="2672" t="s">
        <v>2458</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3838818</v>
      </c>
      <c r="Q1139" s="2677">
        <f>'Part VIII-Threshold Criteria'!Q45</f>
        <v>0</v>
      </c>
    </row>
    <row r="1140" spans="1:17" ht="12.75" customHeight="1">
      <c r="C1140" s="2355"/>
      <c r="D1140" s="2678" t="s">
        <v>3389</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3374</v>
      </c>
      <c r="B1142" s="2671"/>
      <c r="C1142" s="2671"/>
      <c r="D1142" s="2672" t="s">
        <v>572</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4138</v>
      </c>
      <c r="Q1142" s="2518"/>
    </row>
    <row r="1143" spans="1:17" ht="12.75" customHeight="1">
      <c r="A1143" s="2671"/>
      <c r="B1143" s="2671"/>
      <c r="C1143" s="2671"/>
      <c r="D1143" s="2672" t="s">
        <v>2455</v>
      </c>
      <c r="E1143" s="2660">
        <v>1</v>
      </c>
      <c r="F1143" s="2673">
        <f>'Part VI-Revenues &amp; Expenses'!$K$106</f>
        <v>12</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12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2456</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2457</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2458</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3656</v>
      </c>
      <c r="Q1146" s="478"/>
    </row>
    <row r="1147" spans="1:17">
      <c r="C1147" s="2355"/>
      <c r="D1147" s="2678" t="s">
        <v>3389</v>
      </c>
      <c r="E1147" s="2679"/>
      <c r="F1147" s="2680">
        <f>SUM(F1142:F1146)</f>
        <v>12</v>
      </c>
      <c r="G1147" s="2681"/>
      <c r="H1147" s="2682"/>
      <c r="I1147" s="2683" t="e">
        <f>SUM(I1142:I1146)</f>
        <v>#N/A</v>
      </c>
      <c r="J1147" s="2684"/>
      <c r="K1147" s="2680">
        <f>SUM(K1142:K1146)</f>
        <v>0</v>
      </c>
      <c r="L1147" s="2684"/>
      <c r="M1147" s="2682"/>
      <c r="N1147" s="2683" t="e">
        <f>SUM(N1142:N1146)</f>
        <v>#N/A</v>
      </c>
      <c r="O1147" s="2689"/>
      <c r="P1147" s="2571" t="s">
        <v>3266</v>
      </c>
      <c r="Q1147" s="2571" t="s">
        <v>258</v>
      </c>
    </row>
    <row r="1148" spans="1:17">
      <c r="C1148" s="2355"/>
      <c r="D1148" s="2685"/>
      <c r="E1148" s="2685"/>
      <c r="F1148" s="2686"/>
      <c r="G1148" s="2687"/>
      <c r="I1148" s="2686"/>
      <c r="K1148" s="2686"/>
      <c r="M1148" s="2665"/>
      <c r="N1148" s="2686"/>
      <c r="O1148" s="2689"/>
    </row>
    <row r="1149" spans="1:17">
      <c r="A1149" s="2474" t="s">
        <v>3375</v>
      </c>
      <c r="C1149" s="2355"/>
      <c r="D1149" s="2672" t="s">
        <v>572</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2455</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3657</v>
      </c>
      <c r="Q1150" s="478"/>
    </row>
    <row r="1151" spans="1:17">
      <c r="C1151" s="2355"/>
      <c r="D1151" s="2672" t="s">
        <v>2456</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3266</v>
      </c>
      <c r="Q1151" s="2571" t="s">
        <v>258</v>
      </c>
    </row>
    <row r="1152" spans="1:17">
      <c r="C1152" s="2355"/>
      <c r="D1152" s="2672" t="s">
        <v>2457</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2458</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2787</v>
      </c>
      <c r="Q1153" s="2691"/>
    </row>
    <row r="1154" spans="1:17" ht="12.75" customHeight="1">
      <c r="C1154" s="2355"/>
      <c r="D1154" s="2678" t="s">
        <v>3389</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3376</v>
      </c>
      <c r="C1156" s="2355"/>
      <c r="D1156" s="2672" t="s">
        <v>572</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2455</v>
      </c>
      <c r="E1157" s="2660">
        <v>1</v>
      </c>
      <c r="F1157" s="2673">
        <f>'Part VI-Revenues &amp; Expenses'!$K$110</f>
        <v>8</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8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9013956</v>
      </c>
      <c r="Q1157" s="2692">
        <f>'Part VIII-Threshold Criteria'!Q63</f>
        <v>0</v>
      </c>
    </row>
    <row r="1158" spans="1:17" ht="12.75" customHeight="1">
      <c r="C1158" s="2355"/>
      <c r="D1158" s="2672" t="s">
        <v>2456</v>
      </c>
      <c r="E1158" s="2660">
        <v>2</v>
      </c>
      <c r="F1158" s="2673">
        <f>'Part VI-Revenues &amp; Expenses'!$L$110</f>
        <v>16</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16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2457</v>
      </c>
      <c r="E1159" s="2660">
        <v>3</v>
      </c>
      <c r="F1159" s="2673">
        <f>'Part VI-Revenues &amp; Expenses'!$M$110</f>
        <v>12</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12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4550</v>
      </c>
      <c r="Q1159" s="2653"/>
    </row>
    <row r="1160" spans="1:17">
      <c r="C1160" s="2355"/>
      <c r="D1160" s="2672" t="s">
        <v>2458</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3389</v>
      </c>
      <c r="E1161" s="2679"/>
      <c r="F1161" s="2680">
        <f>SUM(F1156:F1160)</f>
        <v>36</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3390</v>
      </c>
      <c r="B1163" s="2355"/>
      <c r="C1163" s="2355"/>
      <c r="D1163" s="2355"/>
      <c r="E1163" s="2556"/>
      <c r="F1163" s="2696">
        <f>F1140+F1147+F1154+F1161</f>
        <v>48</v>
      </c>
      <c r="G1163" s="2421"/>
      <c r="H1163" s="2697">
        <f>'Part VIII-Threshold Criteria'!H69</f>
        <v>9013956</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3783</v>
      </c>
      <c r="D1164" s="2599"/>
      <c r="E1164" s="2599"/>
      <c r="F1164" s="2599"/>
      <c r="G1164" s="2599"/>
      <c r="H1164" s="2598"/>
      <c r="I1164" s="2660"/>
      <c r="J1164" s="2660"/>
      <c r="K1164" s="2663" t="s">
        <v>1879</v>
      </c>
      <c r="L1164" s="2562"/>
      <c r="M1164" s="2562"/>
      <c r="N1164" s="2562"/>
      <c r="O1164" s="2562"/>
      <c r="P1164" s="2562"/>
      <c r="Q1164" s="2562"/>
    </row>
    <row r="1165" spans="1:17" ht="67.5">
      <c r="A1165" s="2662" t="str">
        <f>'Part VIII-Threshold Criteria'!A71</f>
        <v>The project is substantially under the maximum allowed.</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749</v>
      </c>
      <c r="B1167" s="2544" t="s">
        <v>1201</v>
      </c>
      <c r="C1167" s="2544"/>
      <c r="D1167" s="2544"/>
      <c r="E1167" s="2665"/>
      <c r="F1167" s="2665"/>
      <c r="G1167" s="2687" t="s">
        <v>100</v>
      </c>
      <c r="H1167" s="2665"/>
      <c r="J1167" s="2659" t="str">
        <f>'Part VIII-Threshold Criteria'!J73</f>
        <v>Family</v>
      </c>
      <c r="K1167" s="2659">
        <f>'Part VIII-Threshold Criteria'!K73</f>
        <v>0</v>
      </c>
      <c r="L1167" s="2659">
        <f>'Part VIII-Threshold Criteria'!L73</f>
        <v>0</v>
      </c>
      <c r="O1167" s="2661" t="s">
        <v>1880</v>
      </c>
      <c r="P1167" s="2570">
        <f>'Part VIII-Threshold Criteria'!P73</f>
        <v>0</v>
      </c>
      <c r="Q1167" s="2570">
        <f>'Part VIII-Threshold Criteria'!Q73</f>
        <v>0</v>
      </c>
    </row>
    <row r="1168" spans="1:17">
      <c r="B1168" s="2599" t="s">
        <v>3783</v>
      </c>
      <c r="D1168" s="2599"/>
      <c r="E1168" s="2599"/>
      <c r="F1168" s="2599"/>
      <c r="G1168" s="2599"/>
      <c r="H1168" s="2598"/>
      <c r="I1168" s="2660"/>
      <c r="J1168" s="2660"/>
      <c r="K1168" s="2663" t="s">
        <v>1879</v>
      </c>
      <c r="L1168" s="2562"/>
      <c r="M1168" s="2562"/>
      <c r="N1168" s="2562"/>
      <c r="O1168" s="2562"/>
      <c r="P1168" s="2562"/>
      <c r="Q1168" s="2562"/>
    </row>
    <row r="1169" spans="1:17" ht="33.75">
      <c r="A1169" s="2662" t="str">
        <f>'Part VIII-Threshold Criteria'!A75</f>
        <v>The project is a family project</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1804</v>
      </c>
      <c r="B1171" s="2545" t="s">
        <v>2668</v>
      </c>
      <c r="C1171" s="2695"/>
      <c r="D1171" s="2665"/>
      <c r="E1171" s="2665"/>
      <c r="F1171" s="2665"/>
      <c r="G1171" s="2665"/>
      <c r="H1171" s="2665"/>
      <c r="I1171" s="2665"/>
      <c r="J1171" s="2665"/>
      <c r="K1171" s="2665"/>
      <c r="L1171" s="2665"/>
      <c r="M1171" s="2665"/>
      <c r="O1171" s="2661" t="s">
        <v>1880</v>
      </c>
      <c r="P1171" s="2570">
        <f>'Part VIII-Threshold Criteria'!P77</f>
        <v>0</v>
      </c>
      <c r="Q1171" s="2570">
        <f>'Part VIII-Threshold Criteria'!Q77</f>
        <v>0</v>
      </c>
    </row>
    <row r="1173" spans="1:17">
      <c r="A1173" s="2699" t="s">
        <v>1998</v>
      </c>
      <c r="B1173" s="2687" t="s">
        <v>3771</v>
      </c>
      <c r="D1173" s="2687"/>
      <c r="E1173" s="2687"/>
      <c r="F1173" s="2687"/>
      <c r="G1173" s="2687"/>
      <c r="H1173" s="2687"/>
      <c r="I1173" s="2687"/>
      <c r="K1173" s="2687"/>
      <c r="L1173" s="2687"/>
      <c r="M1173" s="2700" t="s">
        <v>3724</v>
      </c>
      <c r="O1173" s="2662"/>
      <c r="P1173" s="2668" t="str">
        <f>'Part VIII-Threshold Criteria'!P79</f>
        <v>Agree</v>
      </c>
    </row>
    <row r="1174" spans="1:17">
      <c r="A1174" s="2701" t="s">
        <v>2000</v>
      </c>
      <c r="B1174" s="2598" t="s">
        <v>3770</v>
      </c>
      <c r="D1174" s="2598"/>
      <c r="E1174" s="2598"/>
      <c r="F1174" s="2598"/>
      <c r="G1174" s="2598"/>
      <c r="H1174" s="2598"/>
      <c r="I1174" s="2598"/>
      <c r="J1174" s="2598"/>
      <c r="K1174" s="2598"/>
      <c r="L1174" s="2598"/>
      <c r="M1174" s="2598"/>
      <c r="O1174" s="2598"/>
      <c r="P1174" s="2598"/>
      <c r="Q1174" s="2598"/>
    </row>
    <row r="1175" spans="1:17" ht="45">
      <c r="A1175" s="2702"/>
      <c r="B1175" s="2703" t="s">
        <v>1749</v>
      </c>
      <c r="C1175" s="2598" t="s">
        <v>3506</v>
      </c>
      <c r="E1175" s="2592"/>
      <c r="F1175" s="2592"/>
      <c r="G1175" s="2592"/>
      <c r="H1175" s="2355"/>
      <c r="I1175" s="478" t="s">
        <v>2722</v>
      </c>
      <c r="J1175" s="2704" t="str">
        <f>'Part VIII-Threshold Criteria'!J81</f>
        <v>Semi Monthly, Birthday/holiday/bingo/movie social events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56.25">
      <c r="A1176" s="2702"/>
      <c r="B1176" s="2703" t="s">
        <v>1750</v>
      </c>
      <c r="C1176" s="2598" t="s">
        <v>3604</v>
      </c>
      <c r="E1176" s="2592"/>
      <c r="F1176" s="2592"/>
      <c r="G1176" s="2592"/>
      <c r="H1176" s="2355"/>
      <c r="I1176" s="478" t="s">
        <v>2722</v>
      </c>
      <c r="J1176" s="2704" t="str">
        <f>'Part VIII-Threshold Criteria'!J82</f>
        <v>Computer Training, fire/police training/nutrition, healthy cooking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c r="A1177" s="2702"/>
      <c r="B1177" s="2703" t="s">
        <v>1751</v>
      </c>
      <c r="C1177" s="2598" t="s">
        <v>3605</v>
      </c>
      <c r="E1177" s="2592"/>
      <c r="F1177" s="2592"/>
      <c r="G1177" s="2592"/>
      <c r="H1177" s="2355"/>
      <c r="I1177" s="478" t="s">
        <v>2722</v>
      </c>
      <c r="J1177" s="2704">
        <f>'Part VIII-Threshold Criteria'!J83</f>
        <v>0</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2380</v>
      </c>
      <c r="C1178" s="2598" t="s">
        <v>3937</v>
      </c>
      <c r="E1178" s="2592"/>
      <c r="I1178" s="478" t="s">
        <v>2722</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756</v>
      </c>
      <c r="B1179" s="2598" t="s">
        <v>3590</v>
      </c>
      <c r="D1179" s="2598"/>
      <c r="E1179" s="2592"/>
      <c r="J1179" s="478"/>
      <c r="K1179" s="478"/>
      <c r="L1179" s="478"/>
      <c r="M1179" s="478"/>
      <c r="N1179" s="478"/>
      <c r="O1179" s="478"/>
      <c r="P1179" s="478"/>
      <c r="Q1179" s="478"/>
    </row>
    <row r="1180" spans="1:17">
      <c r="A1180" s="2702"/>
      <c r="B1180" s="1156" t="s">
        <v>3928</v>
      </c>
      <c r="D1180" s="2627"/>
      <c r="E1180" s="2627"/>
      <c r="F1180" s="2627"/>
      <c r="G1180" s="2627"/>
      <c r="H1180" s="2627"/>
      <c r="I1180" s="2355"/>
      <c r="J1180" s="2355"/>
      <c r="K1180" s="2703" t="s">
        <v>756</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3783</v>
      </c>
      <c r="D1181" s="2599"/>
      <c r="E1181" s="2599"/>
      <c r="F1181" s="2599"/>
      <c r="G1181" s="2599"/>
      <c r="H1181" s="2598"/>
      <c r="I1181" s="2660"/>
      <c r="J1181" s="2660"/>
      <c r="K1181" s="2663" t="s">
        <v>1879</v>
      </c>
      <c r="L1181" s="2562"/>
      <c r="M1181" s="2562"/>
      <c r="N1181" s="2562"/>
      <c r="O1181" s="2562"/>
      <c r="P1181" s="2562"/>
      <c r="Q1181" s="2562"/>
    </row>
    <row r="1182" spans="1:17" ht="101.25">
      <c r="A1182" s="2662" t="str">
        <f>'Part VIII-Threshold Criteria'!A88</f>
        <v>There will be a minimum of two services per month from two catagories as required.</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1806</v>
      </c>
      <c r="B1184" s="2545" t="s">
        <v>2669</v>
      </c>
      <c r="C1184" s="2545"/>
      <c r="D1184" s="2665"/>
      <c r="E1184" s="2665"/>
      <c r="F1184" s="2665"/>
      <c r="G1184" s="2665"/>
      <c r="H1184" s="2665"/>
      <c r="I1184" s="2665"/>
      <c r="J1184" s="2665"/>
      <c r="K1184" s="2665"/>
      <c r="O1184" s="2661" t="s">
        <v>1880</v>
      </c>
      <c r="P1184" s="2570">
        <f>'Part VIII-Threshold Criteria'!P90</f>
        <v>0</v>
      </c>
      <c r="Q1184" s="2570">
        <f>'Part VIII-Threshold Criteria'!Q90</f>
        <v>0</v>
      </c>
    </row>
    <row r="1186" spans="1:17">
      <c r="A1186" s="2701" t="s">
        <v>1998</v>
      </c>
      <c r="B1186" s="1156" t="s">
        <v>2475</v>
      </c>
      <c r="D1186" s="2627"/>
      <c r="E1186" s="2627"/>
      <c r="F1186" s="2627"/>
      <c r="G1186" s="2627"/>
      <c r="H1186" s="2627"/>
      <c r="I1186" s="2355"/>
      <c r="J1186" s="2355"/>
      <c r="K1186" s="2355"/>
      <c r="L1186" s="2703" t="s">
        <v>1998</v>
      </c>
      <c r="M1186" s="2659" t="str">
        <f>'Part VIII-Threshold Criteria'!M92</f>
        <v>Jerry Koontz</v>
      </c>
      <c r="N1186" s="2659">
        <f>'Part VIII-Threshold Criteria'!N92</f>
        <v>0</v>
      </c>
      <c r="O1186" s="2659">
        <f>'Part VIII-Threshold Criteria'!O92</f>
        <v>0</v>
      </c>
      <c r="P1186" s="2355">
        <f>'Part VIII-Threshold Criteria'!P92</f>
        <v>0</v>
      </c>
      <c r="Q1186" s="2668">
        <f>'Part VIII-Threshold Criteria'!Q92</f>
        <v>0</v>
      </c>
    </row>
    <row r="1187" spans="1:17">
      <c r="A1187" s="2701" t="s">
        <v>2000</v>
      </c>
      <c r="B1187" s="478" t="s">
        <v>2051</v>
      </c>
      <c r="D1187" s="2627"/>
      <c r="E1187" s="2627"/>
      <c r="F1187" s="2627"/>
      <c r="L1187" s="2703" t="s">
        <v>2000</v>
      </c>
      <c r="M1187" s="2659" t="str">
        <f>'Part VIII-Threshold Criteria'!M93</f>
        <v>1 Month</v>
      </c>
      <c r="N1187" s="2659">
        <f>'Part VIII-Threshold Criteria'!N93</f>
        <v>0</v>
      </c>
      <c r="O1187" s="2659">
        <f>'Part VIII-Threshold Criteria'!O93</f>
        <v>0</v>
      </c>
      <c r="P1187" s="2355">
        <f>'Part VIII-Threshold Criteria'!P93</f>
        <v>0</v>
      </c>
      <c r="Q1187" s="2668">
        <f>'Part VIII-Threshold Criteria'!Q93</f>
        <v>0</v>
      </c>
    </row>
    <row r="1188" spans="1:17">
      <c r="A1188" s="2701" t="s">
        <v>756</v>
      </c>
      <c r="B1188" s="478" t="s">
        <v>2897</v>
      </c>
      <c r="D1188" s="2627"/>
      <c r="E1188" s="2627"/>
      <c r="F1188" s="2627"/>
      <c r="L1188" s="2703" t="s">
        <v>756</v>
      </c>
      <c r="M1188" s="2705">
        <f>'Part VIII-Threshold Criteria'!M94</f>
        <v>0.99</v>
      </c>
      <c r="N1188" s="2705">
        <f>'Part VIII-Threshold Criteria'!N94</f>
        <v>0</v>
      </c>
      <c r="O1188" s="2705">
        <f>'Part VIII-Threshold Criteria'!O94</f>
        <v>0</v>
      </c>
      <c r="P1188" s="2706">
        <f>'Part VIII-Threshold Criteria'!P94</f>
        <v>0</v>
      </c>
      <c r="Q1188" s="2668">
        <f>'Part VIII-Threshold Criteria'!Q94</f>
        <v>0</v>
      </c>
    </row>
    <row r="1189" spans="1:17">
      <c r="A1189" s="2701" t="s">
        <v>2130</v>
      </c>
      <c r="B1189" s="478" t="s">
        <v>3930</v>
      </c>
      <c r="D1189" s="2627"/>
      <c r="E1189" s="2627"/>
      <c r="F1189" s="2627"/>
      <c r="L1189" s="2703" t="s">
        <v>3931</v>
      </c>
      <c r="M1189" s="2707">
        <f>'Part VIII-Threshold Criteria'!M95</f>
        <v>2.3E-2</v>
      </c>
      <c r="N1189" s="2705"/>
      <c r="O1189" s="2708" t="s">
        <v>4181</v>
      </c>
      <c r="P1189" s="2709" t="str">
        <f>'Part VIII-Threshold Criteria'!P95</f>
        <v>NA</v>
      </c>
      <c r="Q1189" s="2668">
        <f>'Part VIII-Threshold Criteria'!Q95</f>
        <v>0</v>
      </c>
    </row>
    <row r="1190" spans="1:17">
      <c r="A1190" s="2699" t="s">
        <v>1747</v>
      </c>
      <c r="B1190" s="2687" t="s">
        <v>3929</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2393</v>
      </c>
      <c r="E1191" s="2598" t="s">
        <v>622</v>
      </c>
      <c r="F1191" s="2598"/>
      <c r="H1191" s="478"/>
      <c r="I1191" s="2660" t="s">
        <v>2393</v>
      </c>
      <c r="J1191" s="2598" t="s">
        <v>622</v>
      </c>
      <c r="K1191" s="2598"/>
      <c r="M1191" s="478"/>
      <c r="N1191" s="2660" t="s">
        <v>2393</v>
      </c>
      <c r="O1191" s="2598" t="s">
        <v>622</v>
      </c>
      <c r="P1191" s="2598"/>
      <c r="Q1191" s="2703"/>
    </row>
    <row r="1192" spans="1:17">
      <c r="C1192" s="2703" t="s">
        <v>1749</v>
      </c>
      <c r="D1192" s="2668" t="str">
        <f>'Part VIII-Threshold Criteria'!D98</f>
        <v>95-025</v>
      </c>
      <c r="E1192" s="2659" t="str">
        <f>'Part VIII-Threshold Criteria'!E98</f>
        <v>Hillcrest Apartments</v>
      </c>
      <c r="F1192" s="2659">
        <f>'Part VIII-Threshold Criteria'!F98</f>
        <v>0</v>
      </c>
      <c r="G1192" s="2659">
        <f>'Part VIII-Threshold Criteria'!G98</f>
        <v>0</v>
      </c>
      <c r="H1192" s="2703" t="s">
        <v>1751</v>
      </c>
      <c r="I1192" s="2668" t="str">
        <f>'Part VIII-Threshold Criteria'!I98</f>
        <v>2004-070</v>
      </c>
      <c r="J1192" s="2659" t="str">
        <f>'Part VIII-Threshold Criteria'!J98</f>
        <v>Emeral Pointe</v>
      </c>
      <c r="K1192" s="2659">
        <f>'Part VIII-Threshold Criteria'!K98</f>
        <v>0</v>
      </c>
      <c r="L1192" s="2659">
        <f>'Part VIII-Threshold Criteria'!L98</f>
        <v>0</v>
      </c>
      <c r="M1192" s="2703" t="s">
        <v>1560</v>
      </c>
      <c r="N1192" s="2668" t="str">
        <f>'Part VIII-Threshold Criteria'!N98</f>
        <v>2008-019</v>
      </c>
      <c r="O1192" s="2659" t="str">
        <f>'Part VIII-Threshold Criteria'!O98</f>
        <v>Waterford(ShannonEstates)</v>
      </c>
      <c r="P1192" s="2659">
        <f>'Part VIII-Threshold Criteria'!P98</f>
        <v>0</v>
      </c>
      <c r="Q1192" s="2659">
        <f>'Part VIII-Threshold Criteria'!Q98</f>
        <v>0</v>
      </c>
    </row>
    <row r="1193" spans="1:17">
      <c r="C1193" s="2703" t="s">
        <v>1750</v>
      </c>
      <c r="D1193" s="2668" t="str">
        <f>'Part VIII-Threshold Criteria'!D99</f>
        <v>1999-040</v>
      </c>
      <c r="E1193" s="2659" t="str">
        <f>'Part VIII-Threshold Criteria'!E99</f>
        <v>Woodlawn Senior Village</v>
      </c>
      <c r="F1193" s="2659">
        <f>'Part VIII-Threshold Criteria'!F99</f>
        <v>0</v>
      </c>
      <c r="G1193" s="2659">
        <f>'Part VIII-Threshold Criteria'!G99</f>
        <v>0</v>
      </c>
      <c r="H1193" s="2703" t="s">
        <v>2380</v>
      </c>
      <c r="I1193" s="2668" t="str">
        <f>'Part VIII-Threshold Criteria'!I99</f>
        <v>2008-068</v>
      </c>
      <c r="J1193" s="2659" t="str">
        <f>'Part VIII-Threshold Criteria'!J99</f>
        <v>Riverview Heights(Oconee)</v>
      </c>
      <c r="K1193" s="2659">
        <f>'Part VIII-Threshold Criteria'!K99</f>
        <v>0</v>
      </c>
      <c r="L1193" s="2659">
        <f>'Part VIII-Threshold Criteria'!L99</f>
        <v>0</v>
      </c>
      <c r="M1193" s="2703" t="s">
        <v>1561</v>
      </c>
      <c r="N1193" s="2668">
        <f>'Part VIII-Threshold Criteria'!N99</f>
        <v>0</v>
      </c>
      <c r="O1193" s="2659">
        <f>'Part VIII-Threshold Criteria'!O99</f>
        <v>0</v>
      </c>
      <c r="P1193" s="2659">
        <f>'Part VIII-Threshold Criteria'!P99</f>
        <v>0</v>
      </c>
      <c r="Q1193" s="2659">
        <f>'Part VIII-Threshold Criteria'!Q99</f>
        <v>0</v>
      </c>
    </row>
    <row r="1194" spans="1:17">
      <c r="A1194" s="2701" t="s">
        <v>1748</v>
      </c>
      <c r="B1194" s="478" t="s">
        <v>0</v>
      </c>
      <c r="D1194" s="2627"/>
      <c r="E1194" s="2627"/>
      <c r="F1194" s="2627"/>
      <c r="G1194" s="2627"/>
      <c r="H1194" s="2627"/>
      <c r="I1194" s="2355"/>
      <c r="J1194" s="2355"/>
      <c r="K1194" s="2627"/>
      <c r="L1194" s="2592"/>
      <c r="M1194" s="2592"/>
      <c r="O1194" s="2703" t="s">
        <v>1748</v>
      </c>
      <c r="P1194" s="2668" t="str">
        <f>'Part VIII-Threshold Criteria'!P100</f>
        <v>Yes</v>
      </c>
      <c r="Q1194" s="2668">
        <f>'Part VIII-Threshold Criteria'!Q100</f>
        <v>0</v>
      </c>
    </row>
    <row r="1195" spans="1:17">
      <c r="A1195" s="1156" t="s">
        <v>1682</v>
      </c>
      <c r="M1195" s="2710"/>
      <c r="O1195" s="2711"/>
      <c r="Q1195" s="2712" t="s">
        <v>2526</v>
      </c>
    </row>
    <row r="1196" spans="1:17" ht="12.75" customHeight="1">
      <c r="A1196" s="2699" t="s">
        <v>1961</v>
      </c>
      <c r="B1196" s="2662" t="s">
        <v>3639</v>
      </c>
      <c r="C1196" s="2662"/>
      <c r="D1196" s="2662"/>
      <c r="E1196" s="2662"/>
      <c r="F1196" s="2662"/>
      <c r="G1196" s="2662"/>
      <c r="H1196" s="2662"/>
      <c r="I1196" s="2662"/>
      <c r="J1196" s="2662"/>
      <c r="K1196" s="2662"/>
      <c r="L1196" s="2662"/>
      <c r="M1196" s="2662"/>
      <c r="N1196" s="2662"/>
      <c r="O1196" s="2662"/>
      <c r="P1196" s="2713" t="s">
        <v>1961</v>
      </c>
      <c r="Q1196" s="2714">
        <f>'Part VIII-Threshold Criteria'!Q102</f>
        <v>0</v>
      </c>
    </row>
    <row r="1197" spans="1:17" ht="12.75" customHeight="1">
      <c r="A1197" s="2699" t="s">
        <v>3391</v>
      </c>
      <c r="B1197" s="2662" t="s">
        <v>2747</v>
      </c>
      <c r="C1197" s="2662"/>
      <c r="D1197" s="2662"/>
      <c r="E1197" s="2662"/>
      <c r="F1197" s="2662"/>
      <c r="G1197" s="2662"/>
      <c r="H1197" s="2662"/>
      <c r="I1197" s="2662"/>
      <c r="J1197" s="2662"/>
      <c r="K1197" s="2662"/>
      <c r="L1197" s="2662"/>
      <c r="M1197" s="2662"/>
      <c r="N1197" s="2662"/>
      <c r="O1197" s="2662"/>
      <c r="P1197" s="2713" t="s">
        <v>3391</v>
      </c>
      <c r="Q1197" s="2714">
        <f>'Part VIII-Threshold Criteria'!Q103</f>
        <v>0</v>
      </c>
    </row>
    <row r="1198" spans="1:17">
      <c r="A1198" s="2699" t="s">
        <v>621</v>
      </c>
      <c r="B1198" s="2687" t="s">
        <v>1683</v>
      </c>
      <c r="C1198" s="2679"/>
      <c r="D1198" s="2679"/>
      <c r="E1198" s="2679"/>
      <c r="F1198" s="2679"/>
      <c r="G1198" s="2679"/>
      <c r="H1198" s="2679"/>
      <c r="I1198" s="2679"/>
      <c r="J1198" s="2679"/>
      <c r="K1198" s="2679"/>
      <c r="L1198" s="2715"/>
      <c r="M1198" s="2679"/>
      <c r="N1198" s="2711"/>
      <c r="O1198" s="2679"/>
      <c r="P1198" s="2703" t="s">
        <v>621</v>
      </c>
      <c r="Q1198" s="2714">
        <f>'Part VIII-Threshold Criteria'!Q104</f>
        <v>0</v>
      </c>
    </row>
    <row r="1199" spans="1:17">
      <c r="A1199" s="2699" t="s">
        <v>3392</v>
      </c>
      <c r="B1199" s="2687" t="s">
        <v>3640</v>
      </c>
      <c r="C1199" s="2679"/>
      <c r="D1199" s="2679"/>
      <c r="E1199" s="2679"/>
      <c r="F1199" s="2679"/>
      <c r="G1199" s="2679"/>
      <c r="H1199" s="2679"/>
      <c r="I1199" s="2679"/>
      <c r="J1199" s="2679"/>
      <c r="K1199" s="2679"/>
      <c r="L1199" s="2715"/>
      <c r="M1199" s="2679"/>
      <c r="N1199" s="2711"/>
      <c r="O1199" s="2679"/>
      <c r="P1199" s="2703" t="s">
        <v>3392</v>
      </c>
      <c r="Q1199" s="2714">
        <f>'Part VIII-Threshold Criteria'!Q105</f>
        <v>0</v>
      </c>
    </row>
    <row r="1200" spans="1:17">
      <c r="B1200" s="2599" t="s">
        <v>3783</v>
      </c>
      <c r="D1200" s="2599"/>
      <c r="E1200" s="2599"/>
      <c r="F1200" s="2599"/>
      <c r="G1200" s="2599"/>
      <c r="H1200" s="2598"/>
      <c r="I1200" s="2660"/>
      <c r="J1200" s="2660"/>
      <c r="K1200" s="2660"/>
      <c r="L1200" s="2562"/>
      <c r="M1200" s="2562"/>
      <c r="N1200" s="2562"/>
      <c r="O1200" s="2562"/>
      <c r="P1200" s="2562"/>
      <c r="Q1200" s="2562"/>
    </row>
    <row r="1201" spans="1:17" ht="191.25">
      <c r="A1201" s="2662" t="str">
        <f>'Part VIII-Threshold Criteria'!A107</f>
        <v>This project is 98% occupied (one unit in turnaround) and it has consistently stayed near 98% occupancy through its history.  We expect the present tenants to remain after the rehab.</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1879</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534</v>
      </c>
      <c r="B1204" s="2545" t="s">
        <v>2670</v>
      </c>
      <c r="C1204" s="2545"/>
      <c r="D1204" s="2665"/>
      <c r="E1204" s="2665"/>
      <c r="F1204" s="2665"/>
      <c r="G1204" s="2665"/>
      <c r="H1204" s="2665"/>
      <c r="I1204" s="2665"/>
      <c r="J1204" s="2665"/>
      <c r="K1204" s="2665"/>
      <c r="L1204" s="2665"/>
      <c r="M1204" s="2665"/>
      <c r="O1204" s="2661" t="s">
        <v>1880</v>
      </c>
      <c r="P1204" s="2570">
        <f>'Part VIII-Threshold Criteria'!P110</f>
        <v>0</v>
      </c>
      <c r="Q1204" s="2570">
        <f>'Part VIII-Threshold Criteria'!Q110</f>
        <v>0</v>
      </c>
    </row>
    <row r="1206" spans="1:17">
      <c r="A1206" s="2701" t="s">
        <v>1998</v>
      </c>
      <c r="B1206" s="478" t="s">
        <v>497</v>
      </c>
      <c r="C1206" s="478"/>
      <c r="E1206" s="478"/>
      <c r="F1206" s="478"/>
      <c r="G1206" s="478"/>
      <c r="H1206" s="478"/>
      <c r="I1206" s="478"/>
      <c r="J1206" s="478"/>
      <c r="K1206" s="478"/>
      <c r="L1206" s="478"/>
      <c r="M1206" s="478"/>
      <c r="O1206" s="2703" t="s">
        <v>1998</v>
      </c>
      <c r="P1206" s="2668" t="str">
        <f>'Part VIII-Threshold Criteria'!P112</f>
        <v>Yes</v>
      </c>
      <c r="Q1206" s="2668">
        <f>'Part VIII-Threshold Criteria'!Q112</f>
        <v>0</v>
      </c>
    </row>
    <row r="1207" spans="1:17">
      <c r="A1207" s="2701" t="s">
        <v>2000</v>
      </c>
      <c r="B1207" s="478" t="s">
        <v>1315</v>
      </c>
      <c r="C1207" s="478"/>
      <c r="E1207" s="478"/>
      <c r="F1207" s="478"/>
      <c r="G1207" s="478"/>
      <c r="H1207" s="478"/>
      <c r="I1207" s="478"/>
      <c r="J1207" s="478"/>
      <c r="K1207" s="478"/>
      <c r="L1207" s="2598"/>
      <c r="M1207" s="2598"/>
      <c r="O1207" s="2703" t="s">
        <v>2000</v>
      </c>
      <c r="P1207" s="2668" t="str">
        <f>'Part VIII-Threshold Criteria'!P113</f>
        <v>Yes</v>
      </c>
      <c r="Q1207" s="2668">
        <f>'Part VIII-Threshold Criteria'!Q113</f>
        <v>0</v>
      </c>
    </row>
    <row r="1208" spans="1:17">
      <c r="A1208" s="478"/>
      <c r="C1208" s="478" t="s">
        <v>558</v>
      </c>
      <c r="E1208" s="2355"/>
      <c r="F1208" s="2355"/>
      <c r="G1208" s="2355"/>
      <c r="H1208" s="2355"/>
      <c r="I1208" s="2355"/>
      <c r="L1208" s="2703" t="s">
        <v>559</v>
      </c>
      <c r="M1208" s="2659" t="str">
        <f>'Part VIII-Threshold Criteria'!M114</f>
        <v>Dempsey Appraisal Service</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1749</v>
      </c>
      <c r="C1209" s="2598" t="s">
        <v>3493</v>
      </c>
      <c r="D1209" s="2716"/>
      <c r="E1209" s="2716"/>
      <c r="F1209" s="2716"/>
      <c r="G1209" s="2716"/>
      <c r="H1209" s="2716"/>
      <c r="I1209" s="2716"/>
      <c r="J1209" s="2716"/>
      <c r="K1209" s="2716"/>
      <c r="L1209" s="2716"/>
      <c r="M1209" s="2716"/>
      <c r="O1209" s="2713" t="s">
        <v>1749</v>
      </c>
      <c r="P1209" s="2668" t="str">
        <f>'Part VIII-Threshold Criteria'!P115</f>
        <v>Yes</v>
      </c>
      <c r="Q1209" s="2668">
        <f>'Part VIII-Threshold Criteria'!Q115</f>
        <v>0</v>
      </c>
    </row>
    <row r="1210" spans="1:17">
      <c r="A1210" s="2660"/>
      <c r="B1210" s="2703" t="s">
        <v>1750</v>
      </c>
      <c r="C1210" s="2598" t="s">
        <v>3494</v>
      </c>
      <c r="D1210" s="2716"/>
      <c r="E1210" s="2716"/>
      <c r="F1210" s="2716"/>
      <c r="G1210" s="2716"/>
      <c r="H1210" s="2716"/>
      <c r="I1210" s="2716"/>
      <c r="J1210" s="2716"/>
      <c r="K1210" s="2716"/>
      <c r="L1210" s="2716"/>
      <c r="M1210" s="2716"/>
      <c r="O1210" s="2703" t="s">
        <v>1750</v>
      </c>
      <c r="P1210" s="2668" t="str">
        <f>'Part VIII-Threshold Criteria'!P116</f>
        <v>Yes</v>
      </c>
      <c r="Q1210" s="2668">
        <f>'Part VIII-Threshold Criteria'!Q116</f>
        <v>0</v>
      </c>
    </row>
    <row r="1211" spans="1:17">
      <c r="A1211" s="2660"/>
      <c r="B1211" s="2713" t="s">
        <v>1751</v>
      </c>
      <c r="C1211" s="2598" t="s">
        <v>2898</v>
      </c>
      <c r="D1211" s="2598"/>
      <c r="E1211" s="2598"/>
      <c r="F1211" s="2598"/>
      <c r="G1211" s="2598"/>
      <c r="H1211" s="2598"/>
      <c r="I1211" s="2598"/>
      <c r="J1211" s="2598"/>
      <c r="K1211" s="2598"/>
      <c r="L1211" s="2598"/>
      <c r="M1211" s="2600"/>
      <c r="O1211" s="2713" t="s">
        <v>1751</v>
      </c>
      <c r="P1211" s="2668" t="str">
        <f>'Part VIII-Threshold Criteria'!P117</f>
        <v>Yes</v>
      </c>
      <c r="Q1211" s="2668">
        <f>'Part VIII-Threshold Criteria'!Q117</f>
        <v>0</v>
      </c>
    </row>
    <row r="1212" spans="1:17" ht="12.75" customHeight="1">
      <c r="A1212" s="2717"/>
      <c r="B1212" s="2713" t="s">
        <v>2380</v>
      </c>
      <c r="C1212" s="2662" t="s">
        <v>2705</v>
      </c>
      <c r="D1212" s="2662"/>
      <c r="E1212" s="2662"/>
      <c r="F1212" s="2662"/>
      <c r="G1212" s="2662"/>
      <c r="H1212" s="2662"/>
      <c r="I1212" s="2662"/>
      <c r="J1212" s="2662"/>
      <c r="K1212" s="2662"/>
      <c r="L1212" s="2662"/>
      <c r="M1212" s="2662"/>
      <c r="N1212" s="2662"/>
      <c r="O1212" s="2713" t="s">
        <v>2380</v>
      </c>
      <c r="P1212" s="2714">
        <f>'Part VIII-Threshold Criteria'!P118</f>
        <v>0</v>
      </c>
      <c r="Q1212" s="2714">
        <f>'Part VIII-Threshold Criteria'!Q118</f>
        <v>0</v>
      </c>
    </row>
    <row r="1213" spans="1:17">
      <c r="A1213" s="2701" t="s">
        <v>756</v>
      </c>
      <c r="B1213" s="478" t="s">
        <v>147</v>
      </c>
      <c r="D1213" s="478"/>
      <c r="E1213" s="478"/>
      <c r="F1213" s="478"/>
      <c r="G1213" s="478"/>
      <c r="H1213" s="478"/>
      <c r="I1213" s="478"/>
      <c r="J1213" s="478"/>
      <c r="K1213" s="478"/>
      <c r="L1213" s="478"/>
      <c r="M1213" s="478"/>
      <c r="O1213" s="2703" t="s">
        <v>756</v>
      </c>
      <c r="P1213" s="2668" t="str">
        <f>'Part VIII-Threshold Criteria'!P119</f>
        <v>No</v>
      </c>
      <c r="Q1213" s="2668">
        <f>'Part VIII-Threshold Criteria'!Q119</f>
        <v>0</v>
      </c>
    </row>
    <row r="1214" spans="1:17">
      <c r="A1214" s="2701" t="s">
        <v>2130</v>
      </c>
      <c r="B1214" s="478" t="s">
        <v>1439</v>
      </c>
      <c r="D1214" s="478"/>
      <c r="E1214" s="478"/>
      <c r="G1214" s="478"/>
      <c r="I1214" s="478"/>
      <c r="K1214" s="478"/>
      <c r="L1214" s="2598"/>
      <c r="M1214" s="2598"/>
      <c r="N1214" s="2598"/>
      <c r="O1214" s="2703" t="s">
        <v>2130</v>
      </c>
      <c r="P1214" s="2598"/>
      <c r="Q1214" s="2598"/>
    </row>
    <row r="1215" spans="1:17">
      <c r="B1215" s="2703" t="s">
        <v>1749</v>
      </c>
      <c r="C1215" s="478" t="s">
        <v>1440</v>
      </c>
      <c r="E1215" s="478"/>
      <c r="F1215" s="478"/>
      <c r="G1215" s="478"/>
      <c r="H1215" s="478"/>
      <c r="I1215" s="478"/>
      <c r="J1215" s="478"/>
      <c r="K1215" s="478"/>
      <c r="L1215" s="2598"/>
      <c r="M1215" s="2598"/>
      <c r="O1215" s="2703" t="s">
        <v>1749</v>
      </c>
      <c r="P1215" s="2668" t="str">
        <f>'Part VIII-Threshold Criteria'!P121</f>
        <v>No</v>
      </c>
      <c r="Q1215" s="2668">
        <f>'Part VIII-Threshold Criteria'!Q121</f>
        <v>0</v>
      </c>
    </row>
    <row r="1216" spans="1:17">
      <c r="B1216" s="2703" t="s">
        <v>1750</v>
      </c>
      <c r="C1216" s="478" t="s">
        <v>1441</v>
      </c>
      <c r="E1216" s="478"/>
      <c r="F1216" s="478"/>
      <c r="G1216" s="478"/>
      <c r="H1216" s="478"/>
      <c r="I1216" s="478"/>
      <c r="J1216" s="478"/>
      <c r="K1216" s="478"/>
      <c r="L1216" s="2598"/>
      <c r="M1216" s="2598"/>
      <c r="O1216" s="2703" t="s">
        <v>1750</v>
      </c>
      <c r="P1216" s="2668" t="str">
        <f>'Part VIII-Threshold Criteria'!P122</f>
        <v>No</v>
      </c>
      <c r="Q1216" s="2668">
        <f>'Part VIII-Threshold Criteria'!Q122</f>
        <v>0</v>
      </c>
    </row>
    <row r="1217" spans="1:17">
      <c r="B1217" s="2703" t="s">
        <v>1751</v>
      </c>
      <c r="C1217" s="478" t="s">
        <v>1442</v>
      </c>
      <c r="E1217" s="478"/>
      <c r="F1217" s="478"/>
      <c r="G1217" s="478"/>
      <c r="H1217" s="478"/>
      <c r="I1217" s="478"/>
      <c r="J1217" s="478"/>
      <c r="K1217" s="478"/>
      <c r="L1217" s="2598"/>
      <c r="M1217" s="2598"/>
      <c r="O1217" s="2703" t="s">
        <v>1751</v>
      </c>
      <c r="P1217" s="2668" t="str">
        <f>'Part VIII-Threshold Criteria'!P123</f>
        <v>No</v>
      </c>
      <c r="Q1217" s="2668">
        <f>'Part VIII-Threshold Criteria'!Q123</f>
        <v>0</v>
      </c>
    </row>
    <row r="1218" spans="1:17">
      <c r="B1218" s="2599" t="s">
        <v>3783</v>
      </c>
      <c r="D1218" s="2599"/>
      <c r="E1218" s="2599"/>
      <c r="F1218" s="2599"/>
      <c r="G1218" s="2599"/>
      <c r="H1218" s="2598"/>
      <c r="I1218" s="2660"/>
      <c r="J1218" s="2660"/>
      <c r="K1218" s="2660"/>
      <c r="L1218" s="2562"/>
      <c r="M1218" s="2562"/>
      <c r="N1218" s="2562"/>
      <c r="O1218" s="2562"/>
      <c r="P1218" s="2562"/>
      <c r="Q1218" s="2562"/>
    </row>
    <row r="1219" spans="1:17" ht="247.5">
      <c r="A1219" s="2662" t="str">
        <f>'Part VIII-Threshold Criteria'!A125</f>
        <v>There is an identify of interest between the buyer and seller.  This is a 1996 tax credit HOME project applying for funds to pay off the HOME loan and do rehab.  The appraisal value is sufficient to pay off the HOME loan in full.</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1879</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779</v>
      </c>
      <c r="B1222" s="2545" t="s">
        <v>2671</v>
      </c>
      <c r="C1222" s="2598"/>
      <c r="D1222" s="2665"/>
      <c r="E1222" s="2665"/>
      <c r="F1222" s="2665"/>
      <c r="G1222" s="2665"/>
      <c r="H1222" s="2665"/>
      <c r="I1222" s="2665"/>
      <c r="J1222" s="2665"/>
      <c r="K1222" s="2665"/>
      <c r="L1222" s="2665"/>
      <c r="M1222" s="2665"/>
      <c r="O1222" s="2661" t="s">
        <v>1880</v>
      </c>
      <c r="P1222" s="2570">
        <f>'Part VIII-Threshold Criteria'!P128</f>
        <v>0</v>
      </c>
      <c r="Q1222" s="2570">
        <f>'Part VIII-Threshold Criteria'!Q128</f>
        <v>0</v>
      </c>
    </row>
    <row r="1224" spans="1:17">
      <c r="A1224" s="2701" t="s">
        <v>1998</v>
      </c>
      <c r="B1224" s="478" t="s">
        <v>3663</v>
      </c>
      <c r="D1224" s="2627"/>
      <c r="E1224" s="2627"/>
      <c r="F1224" s="2627"/>
      <c r="G1224" s="2627"/>
      <c r="H1224" s="2627"/>
      <c r="I1224" s="2355"/>
      <c r="J1224" s="2355"/>
      <c r="K1224" s="2703" t="s">
        <v>1998</v>
      </c>
      <c r="L1224" s="2570" t="str">
        <f>'Part VIII-Threshold Criteria'!L130</f>
        <v>GEC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2000</v>
      </c>
      <c r="B1225" s="478" t="s">
        <v>1549</v>
      </c>
      <c r="D1225" s="2627"/>
      <c r="E1225" s="2627"/>
      <c r="F1225" s="2627"/>
      <c r="G1225" s="2627"/>
      <c r="H1225" s="2627"/>
      <c r="I1225" s="2355"/>
      <c r="J1225" s="2355"/>
      <c r="K1225" s="2627"/>
      <c r="L1225" s="2592"/>
      <c r="O1225" s="2703" t="s">
        <v>2000</v>
      </c>
      <c r="P1225" s="2668" t="str">
        <f>'Part VIII-Threshold Criteria'!P131</f>
        <v>No</v>
      </c>
      <c r="Q1225" s="2668">
        <f>'Part VIII-Threshold Criteria'!Q131</f>
        <v>0</v>
      </c>
    </row>
    <row r="1226" spans="1:17">
      <c r="A1226" s="2701" t="s">
        <v>756</v>
      </c>
      <c r="B1226" s="478" t="s">
        <v>152</v>
      </c>
      <c r="D1226" s="2627"/>
      <c r="E1226" s="2627"/>
      <c r="F1226" s="2627"/>
      <c r="G1226" s="2627"/>
      <c r="H1226" s="2627"/>
      <c r="I1226" s="2355"/>
      <c r="J1226" s="2355"/>
      <c r="K1226" s="2592"/>
      <c r="L1226" s="2592"/>
      <c r="O1226" s="2703" t="s">
        <v>756</v>
      </c>
      <c r="P1226" s="2668" t="str">
        <f>'Part VIII-Threshold Criteria'!P132</f>
        <v>Yes</v>
      </c>
      <c r="Q1226" s="2668">
        <f>'Part VIII-Threshold Criteria'!Q132</f>
        <v>0</v>
      </c>
    </row>
    <row r="1227" spans="1:17">
      <c r="A1227" s="2701"/>
      <c r="B1227" s="2703" t="s">
        <v>1749</v>
      </c>
      <c r="C1227" s="478" t="s">
        <v>2704</v>
      </c>
      <c r="E1227" s="2627"/>
      <c r="F1227" s="2627"/>
      <c r="G1227" s="2627"/>
      <c r="H1227" s="2627"/>
      <c r="I1227" s="2355"/>
      <c r="J1227" s="2355"/>
      <c r="K1227" s="2703" t="s">
        <v>1749</v>
      </c>
      <c r="L1227" s="2570" t="str">
        <f>'Part VIII-Threshold Criteria'!L133</f>
        <v>GEC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1750</v>
      </c>
      <c r="C1228" s="478" t="s">
        <v>3495</v>
      </c>
      <c r="E1228" s="2355"/>
      <c r="F1228" s="2355"/>
      <c r="G1228" s="2355"/>
      <c r="H1228" s="478"/>
      <c r="I1228" s="2355"/>
      <c r="J1228" s="2355"/>
      <c r="K1228" s="2627"/>
      <c r="L1228" s="2592"/>
      <c r="M1228" s="2592"/>
      <c r="O1228" s="2703" t="s">
        <v>1750</v>
      </c>
      <c r="P1228" s="2668" t="str">
        <f>'Part VIII-Threshold Criteria'!P134</f>
        <v>&lt;65</v>
      </c>
      <c r="Q1228" s="2668">
        <f>'Part VIII-Threshold Criteria'!Q134</f>
        <v>0</v>
      </c>
    </row>
    <row r="1229" spans="1:17">
      <c r="A1229" s="2581"/>
      <c r="B1229" s="2703" t="s">
        <v>1751</v>
      </c>
      <c r="C1229" s="478" t="s">
        <v>4168</v>
      </c>
      <c r="E1229" s="2355"/>
      <c r="F1229" s="2355"/>
      <c r="G1229" s="2355"/>
      <c r="H1229" s="478"/>
      <c r="I1229" s="2355"/>
      <c r="J1229" s="2355"/>
      <c r="K1229" s="2627"/>
      <c r="L1229" s="2592"/>
      <c r="M1229" s="2592"/>
      <c r="N1229" s="2592"/>
      <c r="O1229" s="2592"/>
    </row>
    <row r="1230" spans="1:17" ht="22.5">
      <c r="A1230" s="2562"/>
      <c r="B1230" s="2703"/>
      <c r="C1230" s="2627" t="str">
        <f>'Part VIII-Threshold Criteria'!C136</f>
        <v>Highway &lt; 65 db</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2130</v>
      </c>
      <c r="B1231" s="478" t="s">
        <v>1271</v>
      </c>
      <c r="D1231" s="2627"/>
      <c r="E1231" s="2627"/>
      <c r="F1231" s="2627"/>
      <c r="G1231" s="2627"/>
      <c r="H1231" s="2627"/>
      <c r="I1231" s="2355"/>
      <c r="J1231" s="2355"/>
      <c r="K1231" s="2627"/>
      <c r="L1231" s="2592"/>
      <c r="M1231" s="2592"/>
      <c r="N1231" s="2592"/>
      <c r="O1231" s="2703" t="s">
        <v>2130</v>
      </c>
    </row>
    <row r="1232" spans="1:17">
      <c r="A1232" s="2701"/>
      <c r="B1232" s="2703" t="s">
        <v>1749</v>
      </c>
      <c r="C1232" s="478" t="s">
        <v>150</v>
      </c>
      <c r="E1232" s="2627"/>
      <c r="F1232" s="2627"/>
      <c r="G1232" s="2627"/>
      <c r="H1232" s="2627"/>
      <c r="I1232" s="2355"/>
      <c r="J1232" s="2355"/>
      <c r="K1232" s="2627"/>
      <c r="L1232" s="2592"/>
      <c r="M1232" s="2592"/>
      <c r="O1232" s="2703" t="s">
        <v>1749</v>
      </c>
      <c r="P1232" s="2668" t="str">
        <f>'Part VIII-Threshold Criteria'!P138</f>
        <v>No</v>
      </c>
      <c r="Q1232" s="2668">
        <f>'Part VIII-Threshold Criteria'!Q138</f>
        <v>0</v>
      </c>
    </row>
    <row r="1233" spans="1:17">
      <c r="A1233" s="2701"/>
      <c r="B1233" s="2703" t="s">
        <v>1750</v>
      </c>
      <c r="C1233" s="478" t="s">
        <v>1272</v>
      </c>
      <c r="E1233" s="2627"/>
      <c r="F1233" s="2627"/>
      <c r="G1233" s="2627"/>
      <c r="H1233" s="2355"/>
      <c r="I1233" s="2355"/>
      <c r="J1233" s="2355"/>
      <c r="K1233" s="2627"/>
      <c r="L1233" s="2592"/>
      <c r="M1233" s="2592"/>
      <c r="O1233" s="2703" t="s">
        <v>1750</v>
      </c>
      <c r="P1233" s="2668" t="str">
        <f>'Part VIII-Threshold Criteria'!P139</f>
        <v>No</v>
      </c>
      <c r="Q1233" s="2668">
        <f>'Part VIII-Threshold Criteria'!Q139</f>
        <v>0</v>
      </c>
    </row>
    <row r="1234" spans="1:17">
      <c r="A1234" s="2701"/>
      <c r="B1234" s="2703"/>
      <c r="C1234" s="478" t="s">
        <v>2648</v>
      </c>
      <c r="E1234" s="2703" t="s">
        <v>2450</v>
      </c>
      <c r="F1234" s="478" t="s">
        <v>2649</v>
      </c>
      <c r="G1234" s="2355"/>
      <c r="H1234" s="478"/>
      <c r="I1234" s="2355"/>
      <c r="J1234" s="2355"/>
      <c r="K1234" s="2627"/>
      <c r="L1234" s="2592"/>
      <c r="M1234" s="2592"/>
      <c r="O1234" s="2703" t="s">
        <v>2450</v>
      </c>
      <c r="P1234" s="2718">
        <f>'Part VIII-Threshold Criteria'!P140</f>
        <v>0</v>
      </c>
      <c r="Q1234" s="2718">
        <f>'Part VIII-Threshold Criteria'!Q140</f>
        <v>0</v>
      </c>
    </row>
    <row r="1235" spans="1:17">
      <c r="A1235" s="2701"/>
      <c r="B1235" s="2703"/>
      <c r="E1235" s="2703" t="s">
        <v>2451</v>
      </c>
      <c r="F1235" s="478" t="s">
        <v>2650</v>
      </c>
      <c r="G1235" s="2355"/>
      <c r="H1235" s="478"/>
      <c r="I1235" s="2355"/>
      <c r="J1235" s="2355"/>
      <c r="K1235" s="2627"/>
      <c r="L1235" s="2592"/>
      <c r="M1235" s="2592"/>
      <c r="O1235" s="2703" t="s">
        <v>2451</v>
      </c>
      <c r="P1235" s="2668">
        <f>'Part VIII-Threshold Criteria'!P141</f>
        <v>0</v>
      </c>
      <c r="Q1235" s="2668">
        <f>'Part VIII-Threshold Criteria'!Q141</f>
        <v>0</v>
      </c>
    </row>
    <row r="1236" spans="1:17">
      <c r="A1236" s="2701"/>
      <c r="B1236" s="2703"/>
      <c r="E1236" s="2703" t="s">
        <v>2452</v>
      </c>
      <c r="F1236" s="478" t="s">
        <v>2651</v>
      </c>
      <c r="G1236" s="2355"/>
      <c r="H1236" s="478"/>
      <c r="I1236" s="2355"/>
      <c r="J1236" s="2355"/>
      <c r="K1236" s="2627"/>
      <c r="L1236" s="2592"/>
      <c r="M1236" s="2592"/>
      <c r="O1236" s="2703" t="s">
        <v>2452</v>
      </c>
      <c r="P1236" s="2668">
        <f>'Part VIII-Threshold Criteria'!P142</f>
        <v>0</v>
      </c>
      <c r="Q1236" s="2668">
        <f>'Part VIII-Threshold Criteria'!Q142</f>
        <v>0</v>
      </c>
    </row>
    <row r="1237" spans="1:17">
      <c r="A1237" s="2701"/>
      <c r="B1237" s="2703" t="s">
        <v>1751</v>
      </c>
      <c r="C1237" s="478" t="s">
        <v>1273</v>
      </c>
      <c r="E1237" s="2627"/>
      <c r="F1237" s="2627"/>
      <c r="G1237" s="2627"/>
      <c r="H1237" s="478"/>
      <c r="I1237" s="2355"/>
      <c r="J1237" s="2355"/>
      <c r="K1237" s="2627"/>
      <c r="L1237" s="2592"/>
      <c r="M1237" s="2592"/>
      <c r="O1237" s="2703" t="s">
        <v>1751</v>
      </c>
      <c r="P1237" s="2668" t="str">
        <f>'Part VIII-Threshold Criteria'!P143</f>
        <v>No</v>
      </c>
      <c r="Q1237" s="2668">
        <f>'Part VIII-Threshold Criteria'!Q143</f>
        <v>0</v>
      </c>
    </row>
    <row r="1238" spans="1:17">
      <c r="A1238" s="2701"/>
      <c r="B1238" s="2703"/>
      <c r="C1238" s="478" t="s">
        <v>2648</v>
      </c>
      <c r="E1238" s="2703" t="s">
        <v>2450</v>
      </c>
      <c r="F1238" s="478" t="s">
        <v>2652</v>
      </c>
      <c r="G1238" s="2355"/>
      <c r="H1238" s="478"/>
      <c r="I1238" s="2355"/>
      <c r="J1238" s="2355"/>
      <c r="K1238" s="2627"/>
      <c r="L1238" s="2592"/>
      <c r="O1238" s="2703" t="s">
        <v>2450</v>
      </c>
      <c r="P1238" s="2718">
        <f>'Part VIII-Threshold Criteria'!P144</f>
        <v>0</v>
      </c>
      <c r="Q1238" s="2718">
        <f>'Part VIII-Threshold Criteria'!Q144</f>
        <v>0</v>
      </c>
    </row>
    <row r="1239" spans="1:17">
      <c r="A1239" s="2701"/>
      <c r="B1239" s="2703"/>
      <c r="E1239" s="2703" t="s">
        <v>2451</v>
      </c>
      <c r="F1239" s="478" t="s">
        <v>2653</v>
      </c>
      <c r="G1239" s="2355"/>
      <c r="H1239" s="478"/>
      <c r="I1239" s="2355"/>
      <c r="J1239" s="2355"/>
      <c r="O1239" s="2703" t="s">
        <v>2451</v>
      </c>
      <c r="P1239" s="2668" t="str">
        <f>'Part VIII-Threshold Criteria'!P145</f>
        <v>No</v>
      </c>
      <c r="Q1239" s="2668">
        <f>'Part VIII-Threshold Criteria'!Q145</f>
        <v>0</v>
      </c>
    </row>
    <row r="1240" spans="1:17">
      <c r="A1240" s="2701"/>
      <c r="B1240" s="2703"/>
      <c r="E1240" s="2703" t="s">
        <v>2452</v>
      </c>
      <c r="F1240" s="478" t="s">
        <v>2651</v>
      </c>
      <c r="G1240" s="2355"/>
      <c r="H1240" s="478"/>
      <c r="I1240" s="2355"/>
      <c r="J1240" s="2355"/>
      <c r="O1240" s="2703" t="s">
        <v>2452</v>
      </c>
      <c r="P1240" s="2668" t="str">
        <f>'Part VIII-Threshold Criteria'!P146</f>
        <v>Yes</v>
      </c>
      <c r="Q1240" s="2668">
        <f>'Part VIII-Threshold Criteria'!Q146</f>
        <v>0</v>
      </c>
    </row>
    <row r="1241" spans="1:17">
      <c r="A1241" s="478"/>
      <c r="B1241" s="2703" t="s">
        <v>2380</v>
      </c>
      <c r="C1241" s="478" t="s">
        <v>2654</v>
      </c>
      <c r="E1241" s="2627"/>
      <c r="F1241" s="2627"/>
      <c r="G1241" s="2627"/>
      <c r="H1241" s="2627"/>
      <c r="I1241" s="2355"/>
      <c r="J1241" s="2355"/>
      <c r="O1241" s="2703" t="s">
        <v>2380</v>
      </c>
      <c r="P1241" s="2668" t="str">
        <f>'Part VIII-Threshold Criteria'!P147</f>
        <v>No</v>
      </c>
      <c r="Q1241" s="2668">
        <f>'Part VIII-Threshold Criteria'!Q147</f>
        <v>0</v>
      </c>
    </row>
    <row r="1242" spans="1:17">
      <c r="A1242" s="2701" t="s">
        <v>1747</v>
      </c>
      <c r="B1242" s="2598" t="s">
        <v>2429</v>
      </c>
      <c r="D1242" s="2627"/>
      <c r="E1242" s="2627"/>
      <c r="F1242" s="2627"/>
      <c r="G1242" s="2627"/>
      <c r="H1242" s="2627"/>
      <c r="I1242" s="2355"/>
      <c r="J1242" s="2355"/>
      <c r="K1242" s="2627"/>
      <c r="L1242" s="2592"/>
      <c r="M1242" s="2592"/>
      <c r="N1242" s="2592"/>
      <c r="O1242" s="2592"/>
      <c r="P1242" s="2592"/>
      <c r="Q1242" s="2592"/>
    </row>
    <row r="1243" spans="1:17">
      <c r="B1243" s="2703" t="s">
        <v>1749</v>
      </c>
      <c r="C1243" s="478" t="s">
        <v>2510</v>
      </c>
      <c r="E1243" s="2627"/>
      <c r="F1243" s="2668" t="str">
        <f>'Part VIII-Threshold Criteria'!F149</f>
        <v>No</v>
      </c>
      <c r="G1243" s="2668">
        <f>'Part VIII-Threshold Criteria'!G149</f>
        <v>0</v>
      </c>
      <c r="H1243" s="2703" t="s">
        <v>1560</v>
      </c>
      <c r="I1243" s="1156" t="s">
        <v>2656</v>
      </c>
      <c r="L1243" s="2668" t="str">
        <f>'Part VIII-Threshold Criteria'!L149</f>
        <v>No</v>
      </c>
      <c r="M1243" s="2668">
        <f>'Part VIII-Threshold Criteria'!M149</f>
        <v>0</v>
      </c>
      <c r="N1243" s="2703" t="s">
        <v>516</v>
      </c>
      <c r="O1243" s="478" t="s">
        <v>1563</v>
      </c>
      <c r="P1243" s="2668" t="str">
        <f>'Part VIII-Threshold Criteria'!P149</f>
        <v>No</v>
      </c>
      <c r="Q1243" s="2668">
        <f>'Part VIII-Threshold Criteria'!Q149</f>
        <v>0</v>
      </c>
    </row>
    <row r="1244" spans="1:17">
      <c r="A1244" s="478"/>
      <c r="B1244" s="2703" t="s">
        <v>1750</v>
      </c>
      <c r="C1244" s="478" t="s">
        <v>2820</v>
      </c>
      <c r="E1244" s="2627"/>
      <c r="F1244" s="2668" t="str">
        <f>'Part VIII-Threshold Criteria'!F150</f>
        <v>No</v>
      </c>
      <c r="G1244" s="2668">
        <f>'Part VIII-Threshold Criteria'!G150</f>
        <v>0</v>
      </c>
      <c r="H1244" s="2703" t="s">
        <v>1561</v>
      </c>
      <c r="I1244" s="1156" t="s">
        <v>2657</v>
      </c>
      <c r="L1244" s="2668" t="str">
        <f>'Part VIII-Threshold Criteria'!L150</f>
        <v>No</v>
      </c>
      <c r="M1244" s="2668">
        <f>'Part VIII-Threshold Criteria'!M150</f>
        <v>0</v>
      </c>
      <c r="N1244" s="2703" t="s">
        <v>517</v>
      </c>
      <c r="O1244" s="478" t="s">
        <v>1562</v>
      </c>
      <c r="P1244" s="2668" t="str">
        <f>'Part VIII-Threshold Criteria'!P150</f>
        <v>No</v>
      </c>
      <c r="Q1244" s="2668">
        <f>'Part VIII-Threshold Criteria'!Q150</f>
        <v>0</v>
      </c>
    </row>
    <row r="1245" spans="1:17">
      <c r="A1245" s="478"/>
      <c r="B1245" s="2703" t="s">
        <v>1751</v>
      </c>
      <c r="C1245" s="478" t="s">
        <v>2655</v>
      </c>
      <c r="E1245" s="2627"/>
      <c r="F1245" s="2668" t="str">
        <f>'Part VIII-Threshold Criteria'!F151</f>
        <v>No</v>
      </c>
      <c r="G1245" s="2668">
        <f>'Part VIII-Threshold Criteria'!G151</f>
        <v>0</v>
      </c>
      <c r="H1245" s="2703" t="s">
        <v>99</v>
      </c>
      <c r="I1245" s="1156" t="s">
        <v>3878</v>
      </c>
      <c r="L1245" s="2668" t="str">
        <f>'Part VIII-Threshold Criteria'!L151</f>
        <v>No</v>
      </c>
      <c r="M1245" s="2668">
        <f>'Part VIII-Threshold Criteria'!M151</f>
        <v>0</v>
      </c>
      <c r="N1245" s="2703" t="s">
        <v>2822</v>
      </c>
      <c r="O1245" s="478" t="s">
        <v>1564</v>
      </c>
      <c r="P1245" s="2668" t="str">
        <f>'Part VIII-Threshold Criteria'!P151</f>
        <v>Yes</v>
      </c>
      <c r="Q1245" s="2668">
        <f>'Part VIII-Threshold Criteria'!Q151</f>
        <v>0</v>
      </c>
    </row>
    <row r="1246" spans="1:17">
      <c r="A1246" s="478"/>
      <c r="B1246" s="2703" t="s">
        <v>2380</v>
      </c>
      <c r="C1246" s="478" t="s">
        <v>2823</v>
      </c>
      <c r="E1246" s="2627"/>
      <c r="F1246" s="2668" t="str">
        <f>'Part VIII-Threshold Criteria'!F152</f>
        <v>No</v>
      </c>
      <c r="G1246" s="2668">
        <f>'Part VIII-Threshold Criteria'!G152</f>
        <v>0</v>
      </c>
      <c r="H1246" s="2703" t="s">
        <v>515</v>
      </c>
      <c r="I1246" s="478" t="s">
        <v>2819</v>
      </c>
      <c r="L1246" s="2668" t="str">
        <f>'Part VIII-Threshold Criteria'!L152</f>
        <v>No</v>
      </c>
      <c r="M1246" s="2668">
        <f>'Part VIII-Threshold Criteria'!M152</f>
        <v>0</v>
      </c>
      <c r="O1246" s="2703"/>
    </row>
    <row r="1247" spans="1:17">
      <c r="A1247" s="478"/>
      <c r="B1247" s="2703" t="s">
        <v>2912</v>
      </c>
      <c r="C1247" s="478" t="s">
        <v>2821</v>
      </c>
      <c r="E1247" s="2627"/>
      <c r="F1247" s="2627"/>
      <c r="G1247" s="2627"/>
      <c r="H1247" s="2627"/>
      <c r="I1247" s="2627"/>
      <c r="J1247" s="2627"/>
      <c r="K1247" s="2627"/>
      <c r="L1247" s="2627"/>
      <c r="M1247" s="478"/>
      <c r="O1247" s="2703"/>
      <c r="P1247" s="2703"/>
    </row>
    <row r="1248" spans="1:17" ht="213.75">
      <c r="A1248" s="478"/>
      <c r="C1248" s="2627" t="str">
        <f>'Part VIII-Threshold Criteria'!C154</f>
        <v>En environmental hazards will adversely affect the property.  One unit tested above 4.0 for Radon and will be mitigated during construction ($2,000) budget in scope of work)</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1748</v>
      </c>
      <c r="B1249" s="478" t="s">
        <v>3593</v>
      </c>
      <c r="D1249" s="2627"/>
      <c r="E1249" s="2627"/>
      <c r="F1249" s="2627"/>
      <c r="G1249" s="2627"/>
      <c r="H1249" s="2627"/>
      <c r="I1249" s="2355"/>
      <c r="J1249" s="2355"/>
      <c r="K1249" s="2627"/>
      <c r="L1249" s="2627"/>
      <c r="M1249" s="2592"/>
    </row>
    <row r="1250" spans="1:17">
      <c r="A1250" s="2355"/>
      <c r="B1250" s="2703" t="s">
        <v>1749</v>
      </c>
      <c r="C1250" s="478" t="s">
        <v>2824</v>
      </c>
      <c r="E1250" s="2627"/>
      <c r="F1250" s="2627"/>
      <c r="G1250" s="2627"/>
      <c r="H1250" s="2627"/>
      <c r="O1250" s="2703" t="s">
        <v>1749</v>
      </c>
      <c r="P1250" s="2668" t="str">
        <f>'Part VIII-Threshold Criteria'!P156</f>
        <v>No</v>
      </c>
      <c r="Q1250" s="2668">
        <f>'Part VIII-Threshold Criteria'!Q156</f>
        <v>0</v>
      </c>
    </row>
    <row r="1251" spans="1:17">
      <c r="A1251" s="2660"/>
      <c r="B1251" s="2703" t="s">
        <v>1750</v>
      </c>
      <c r="C1251" s="478" t="s">
        <v>494</v>
      </c>
      <c r="E1251" s="478"/>
      <c r="F1251" s="478"/>
      <c r="G1251" s="478"/>
      <c r="H1251" s="478"/>
      <c r="I1251" s="2355"/>
      <c r="J1251" s="2355"/>
      <c r="K1251" s="478"/>
      <c r="L1251" s="478"/>
      <c r="M1251" s="478"/>
      <c r="O1251" s="2703" t="s">
        <v>1750</v>
      </c>
      <c r="P1251" s="2668" t="str">
        <f>'Part VIII-Threshold Criteria'!P157</f>
        <v>No</v>
      </c>
      <c r="Q1251" s="2668">
        <f>'Part VIII-Threshold Criteria'!Q157</f>
        <v>0</v>
      </c>
    </row>
    <row r="1252" spans="1:17">
      <c r="A1252" s="2660"/>
      <c r="B1252" s="2703" t="s">
        <v>1751</v>
      </c>
      <c r="C1252" s="478" t="s">
        <v>686</v>
      </c>
      <c r="E1252" s="478"/>
      <c r="F1252" s="478"/>
      <c r="G1252" s="478"/>
      <c r="H1252" s="478"/>
      <c r="I1252" s="2355"/>
      <c r="J1252" s="2355"/>
      <c r="K1252" s="478"/>
      <c r="L1252" s="478"/>
      <c r="M1252" s="478"/>
      <c r="O1252" s="2703" t="s">
        <v>1751</v>
      </c>
      <c r="P1252" s="2668" t="str">
        <f>'Part VIII-Threshold Criteria'!P158</f>
        <v>No</v>
      </c>
      <c r="Q1252" s="2668">
        <f>'Part VIII-Threshold Criteria'!Q158</f>
        <v>0</v>
      </c>
    </row>
    <row r="1253" spans="1:17">
      <c r="A1253" s="2701" t="s">
        <v>1961</v>
      </c>
      <c r="B1253" s="478" t="s">
        <v>1765</v>
      </c>
      <c r="D1253" s="2627"/>
      <c r="E1253" s="2627"/>
      <c r="F1253" s="2627"/>
      <c r="G1253" s="2627"/>
      <c r="H1253" s="2627"/>
      <c r="I1253" s="2355"/>
      <c r="J1253" s="2355"/>
      <c r="K1253" s="2627"/>
      <c r="L1253" s="2627"/>
      <c r="M1253" s="2592"/>
      <c r="O1253" s="2703" t="s">
        <v>1961</v>
      </c>
      <c r="P1253" s="2668" t="str">
        <f>'Part VIII-Threshold Criteria'!P159</f>
        <v>N/A</v>
      </c>
      <c r="Q1253" s="2668">
        <f>'Part VIII-Threshold Criteria'!Q159</f>
        <v>0</v>
      </c>
    </row>
    <row r="1254" spans="1:17">
      <c r="A1254" s="2719" t="s">
        <v>3485</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3391</v>
      </c>
      <c r="B1255" s="2662" t="s">
        <v>4776</v>
      </c>
      <c r="C1255" s="2662"/>
      <c r="D1255" s="2662"/>
      <c r="E1255" s="2662"/>
      <c r="F1255" s="2662"/>
      <c r="G1255" s="2662"/>
      <c r="H1255" s="2662"/>
      <c r="I1255" s="2662"/>
      <c r="J1255" s="2662"/>
      <c r="K1255" s="2662"/>
      <c r="L1255" s="2662"/>
      <c r="M1255" s="2713" t="s">
        <v>3391</v>
      </c>
      <c r="N1255" s="2658">
        <f>'Part VIII-Threshold Criteria'!N161</f>
        <v>0</v>
      </c>
      <c r="O1255" s="2658">
        <f>'Part VIII-Threshold Criteria'!O161</f>
        <v>0</v>
      </c>
      <c r="P1255" s="2658" t="str">
        <f>'Part VIII-Threshold Criteria'!P161</f>
        <v>&lt;&lt;Select&gt;&gt;</v>
      </c>
      <c r="Q1255" s="2658">
        <f>'Part VIII-Threshold Criteria'!Q161</f>
        <v>0</v>
      </c>
    </row>
    <row r="1256" spans="1:17">
      <c r="A1256" s="2701" t="s">
        <v>621</v>
      </c>
      <c r="B1256" s="2598" t="s">
        <v>1</v>
      </c>
      <c r="C1256" s="2355"/>
      <c r="D1256" s="2720"/>
      <c r="E1256" s="2720"/>
      <c r="F1256" s="2355"/>
      <c r="G1256" s="2703" t="s">
        <v>621</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3392</v>
      </c>
      <c r="B1257" s="2598" t="s">
        <v>1426</v>
      </c>
      <c r="C1257" s="2355"/>
      <c r="D1257" s="2716"/>
      <c r="E1257" s="2716"/>
      <c r="F1257" s="2716"/>
      <c r="G1257" s="2554"/>
      <c r="H1257" s="2554"/>
      <c r="I1257" s="2598"/>
      <c r="J1257" s="2355"/>
      <c r="K1257" s="2554"/>
      <c r="L1257" s="2554"/>
      <c r="M1257" s="2554"/>
      <c r="N1257" s="2355"/>
      <c r="O1257" s="2703" t="s">
        <v>3392</v>
      </c>
      <c r="P1257" s="2668">
        <f>'Part VIII-Threshold Criteria'!P163</f>
        <v>0</v>
      </c>
      <c r="Q1257" s="2668">
        <f>'Part VIII-Threshold Criteria'!Q163</f>
        <v>0</v>
      </c>
    </row>
    <row r="1258" spans="1:17">
      <c r="B1258" s="2599" t="s">
        <v>3783</v>
      </c>
      <c r="D1258" s="2599"/>
      <c r="E1258" s="2599"/>
      <c r="F1258" s="2599"/>
      <c r="G1258" s="2599"/>
      <c r="H1258" s="2598"/>
      <c r="I1258" s="2660"/>
      <c r="J1258" s="2660"/>
      <c r="K1258" s="2660"/>
      <c r="L1258" s="2562"/>
      <c r="M1258" s="2562"/>
      <c r="N1258" s="2562"/>
      <c r="O1258" s="2562"/>
      <c r="P1258" s="2562"/>
      <c r="Q1258" s="2562"/>
    </row>
    <row r="1259" spans="1:17" ht="123.75">
      <c r="A1259" s="2662" t="str">
        <f>'Part VIII-Threshold Criteria'!A165</f>
        <v>No Environmental hazards will adversely affect the property.  The tract was initially developed in 1995.</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1879</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2672</v>
      </c>
      <c r="C1264" s="2545"/>
      <c r="D1264" s="2665"/>
      <c r="E1264" s="2665"/>
      <c r="F1264" s="2665"/>
      <c r="G1264" s="2665"/>
      <c r="H1264" s="2665"/>
      <c r="I1264" s="2665"/>
      <c r="J1264" s="2665"/>
      <c r="K1264" s="2665"/>
      <c r="O1264" s="2661" t="s">
        <v>1880</v>
      </c>
      <c r="P1264" s="2570">
        <f>'Part VIII-Threshold Criteria'!P170</f>
        <v>0</v>
      </c>
      <c r="Q1264" s="2570">
        <f>'Part VIII-Threshold Criteria'!Q170</f>
        <v>0</v>
      </c>
    </row>
    <row r="1265" spans="1:17">
      <c r="A1265" s="2701" t="s">
        <v>1998</v>
      </c>
      <c r="B1265" s="478" t="s">
        <v>4551</v>
      </c>
      <c r="D1265" s="478"/>
      <c r="E1265" s="478"/>
      <c r="F1265" s="478"/>
      <c r="G1265" s="478"/>
      <c r="I1265" s="478" t="s">
        <v>2724</v>
      </c>
      <c r="K1265" s="2721">
        <f>'Part VIII-Threshold Criteria'!K171</f>
        <v>43647</v>
      </c>
      <c r="L1265" s="2721">
        <f>'Part VIII-Threshold Criteria'!L171</f>
        <v>0</v>
      </c>
      <c r="N1265" s="478"/>
      <c r="O1265" s="2703" t="s">
        <v>1998</v>
      </c>
      <c r="P1265" s="2668" t="str">
        <f>'Part VIII-Threshold Criteria'!P171</f>
        <v>Yes</v>
      </c>
      <c r="Q1265" s="2668">
        <f>'Part VIII-Threshold Criteria'!Q171</f>
        <v>0</v>
      </c>
    </row>
    <row r="1266" spans="1:17">
      <c r="A1266" s="2701" t="s">
        <v>2000</v>
      </c>
      <c r="B1266" s="2687" t="s">
        <v>151</v>
      </c>
      <c r="D1266" s="2687"/>
      <c r="E1266" s="2687"/>
      <c r="F1266" s="2687"/>
      <c r="G1266" s="2687"/>
      <c r="H1266" s="2687"/>
      <c r="M1266" s="2703" t="s">
        <v>2000</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756</v>
      </c>
      <c r="B1267" s="2687" t="s">
        <v>687</v>
      </c>
      <c r="D1267" s="2687"/>
      <c r="E1267" s="2687"/>
      <c r="F1267" s="2687"/>
      <c r="G1267" s="2687"/>
      <c r="H1267" s="2687"/>
      <c r="J1267" s="2703" t="s">
        <v>756</v>
      </c>
      <c r="K1267" s="2659" t="str">
        <f>'Part VIII-Threshold Criteria'!K173</f>
        <v>Hillcrest Apartments, L.P.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2130</v>
      </c>
      <c r="B1268" s="2687" t="s">
        <v>2900</v>
      </c>
      <c r="D1268" s="2687"/>
      <c r="E1268" s="2687"/>
      <c r="F1268" s="2687"/>
      <c r="G1268" s="2687"/>
      <c r="H1268" s="2687"/>
      <c r="J1268" s="2703"/>
      <c r="K1268" s="2703"/>
      <c r="L1268" s="2703"/>
      <c r="M1268" s="2703"/>
      <c r="N1268" s="2703"/>
      <c r="O1268" s="2703" t="s">
        <v>2130</v>
      </c>
      <c r="P1268" s="2668" t="str">
        <f>'Part VIII-Threshold Criteria'!P174</f>
        <v>Yes</v>
      </c>
      <c r="Q1268" s="2668">
        <f>'Part VIII-Threshold Criteria'!Q174</f>
        <v>0</v>
      </c>
    </row>
    <row r="1269" spans="1:17">
      <c r="B1269" s="2599" t="s">
        <v>3783</v>
      </c>
      <c r="D1269" s="2599"/>
      <c r="E1269" s="2599"/>
      <c r="F1269" s="2599"/>
      <c r="G1269" s="2599"/>
      <c r="H1269" s="2598"/>
      <c r="I1269" s="2660"/>
      <c r="J1269" s="2660"/>
      <c r="K1269" s="2660"/>
      <c r="L1269" s="2562"/>
      <c r="M1269" s="2562"/>
      <c r="N1269" s="2562"/>
      <c r="O1269" s="2562"/>
      <c r="P1269" s="2562"/>
      <c r="Q1269" s="2562"/>
    </row>
    <row r="1270" spans="1:17" ht="191.25">
      <c r="A1270" s="2662" t="str">
        <f>'Part VIII-Threshold Criteria'!A176</f>
        <v>Contract is in place and  there is an identity of interest and the price is less than the market value.  The value  by an independent appraisal shows the value is more than the selling price.</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1879</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2673</v>
      </c>
      <c r="C1274" s="2545"/>
      <c r="D1274" s="2665"/>
      <c r="E1274" s="2665"/>
      <c r="F1274" s="2665"/>
      <c r="G1274" s="2665"/>
      <c r="H1274" s="2665"/>
      <c r="I1274" s="2665"/>
      <c r="J1274" s="2665"/>
      <c r="K1274" s="2665"/>
      <c r="L1274" s="2665"/>
      <c r="M1274" s="2665"/>
      <c r="O1274" s="2661" t="s">
        <v>1880</v>
      </c>
      <c r="P1274" s="2570">
        <f>'Part VIII-Threshold Criteria'!P180</f>
        <v>0</v>
      </c>
      <c r="Q1274" s="2570">
        <f>'Part VIII-Threshold Criteria'!Q180</f>
        <v>0</v>
      </c>
    </row>
    <row r="1275" spans="1:17" ht="12.75" customHeight="1">
      <c r="A1275" s="2699" t="s">
        <v>1998</v>
      </c>
      <c r="B1275" s="2662" t="s">
        <v>3772</v>
      </c>
      <c r="C1275" s="2662"/>
      <c r="D1275" s="2662"/>
      <c r="E1275" s="2662"/>
      <c r="F1275" s="2662"/>
      <c r="G1275" s="2662"/>
      <c r="H1275" s="2662"/>
      <c r="I1275" s="2662"/>
      <c r="J1275" s="2662"/>
      <c r="K1275" s="2662"/>
      <c r="L1275" s="2662"/>
      <c r="M1275" s="2662"/>
      <c r="N1275" s="2662"/>
      <c r="O1275" s="2713" t="s">
        <v>1998</v>
      </c>
      <c r="P1275" s="2714" t="str">
        <f>'Part VIII-Threshold Criteria'!P181</f>
        <v>Yes</v>
      </c>
      <c r="Q1275" s="2714">
        <f>'Part VIII-Threshold Criteria'!Q181</f>
        <v>0</v>
      </c>
    </row>
    <row r="1276" spans="1:17" ht="12.75" customHeight="1">
      <c r="A1276" s="2699" t="s">
        <v>2000</v>
      </c>
      <c r="B1276" s="2662" t="s">
        <v>3664</v>
      </c>
      <c r="C1276" s="2662"/>
      <c r="D1276" s="2662"/>
      <c r="E1276" s="2662"/>
      <c r="F1276" s="2662"/>
      <c r="G1276" s="2662"/>
      <c r="H1276" s="2662"/>
      <c r="I1276" s="2662"/>
      <c r="J1276" s="2662"/>
      <c r="K1276" s="2662"/>
      <c r="L1276" s="2662"/>
      <c r="M1276" s="2662"/>
      <c r="N1276" s="2662"/>
      <c r="O1276" s="2713" t="s">
        <v>2000</v>
      </c>
      <c r="P1276" s="2714">
        <f>'Part VIII-Threshold Criteria'!P182</f>
        <v>0</v>
      </c>
      <c r="Q1276" s="2714">
        <f>'Part VIII-Threshold Criteria'!Q182</f>
        <v>0</v>
      </c>
    </row>
    <row r="1277" spans="1:17" ht="12.75" customHeight="1">
      <c r="A1277" s="2699" t="s">
        <v>756</v>
      </c>
      <c r="B1277" s="2662" t="s">
        <v>3773</v>
      </c>
      <c r="C1277" s="2662"/>
      <c r="D1277" s="2662"/>
      <c r="E1277" s="2662"/>
      <c r="F1277" s="2662"/>
      <c r="G1277" s="2662"/>
      <c r="H1277" s="2662"/>
      <c r="I1277" s="2662"/>
      <c r="J1277" s="2662"/>
      <c r="K1277" s="2662"/>
      <c r="L1277" s="2662"/>
      <c r="M1277" s="2662"/>
      <c r="N1277" s="2662"/>
      <c r="O1277" s="2713" t="s">
        <v>756</v>
      </c>
      <c r="P1277" s="2714" t="str">
        <f>'Part VIII-Threshold Criteria'!P183</f>
        <v>No</v>
      </c>
      <c r="Q1277" s="2714">
        <f>'Part VIII-Threshold Criteria'!Q183</f>
        <v>0</v>
      </c>
    </row>
    <row r="1278" spans="1:17" ht="12.75" customHeight="1">
      <c r="A1278" s="2699" t="s">
        <v>2130</v>
      </c>
      <c r="B1278" s="2662" t="s">
        <v>2658</v>
      </c>
      <c r="C1278" s="2662"/>
      <c r="D1278" s="2662"/>
      <c r="E1278" s="2662"/>
      <c r="F1278" s="2662"/>
      <c r="G1278" s="2662"/>
      <c r="H1278" s="2662"/>
      <c r="I1278" s="2662"/>
      <c r="J1278" s="2662"/>
      <c r="K1278" s="2662"/>
      <c r="L1278" s="2662"/>
      <c r="M1278" s="2662"/>
      <c r="N1278" s="2662"/>
      <c r="O1278" s="2713" t="s">
        <v>2130</v>
      </c>
      <c r="P1278" s="2714" t="str">
        <f>'Part VIII-Threshold Criteria'!P184</f>
        <v>No</v>
      </c>
      <c r="Q1278" s="2714">
        <f>'Part VIII-Threshold Criteria'!Q184</f>
        <v>0</v>
      </c>
    </row>
    <row r="1279" spans="1:17">
      <c r="B1279" s="2599" t="s">
        <v>3783</v>
      </c>
      <c r="D1279" s="2599"/>
      <c r="E1279" s="2599"/>
      <c r="F1279" s="2599"/>
      <c r="G1279" s="2599"/>
      <c r="H1279" s="2598"/>
      <c r="I1279" s="2660"/>
      <c r="J1279" s="2660"/>
      <c r="K1279" s="2660"/>
      <c r="L1279" s="2562"/>
      <c r="M1279" s="2562"/>
      <c r="N1279" s="2562"/>
      <c r="O1279" s="2562"/>
      <c r="P1279" s="2562"/>
      <c r="Q1279" s="2562"/>
    </row>
    <row r="1280" spans="1:17" ht="90">
      <c r="A1280" s="2662" t="str">
        <f>'Part VIII-Threshold Criteria'!A186</f>
        <v>There are two site entrances and both exit and enter onto public streets.</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1879</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2674</v>
      </c>
      <c r="C1284" s="2544"/>
      <c r="D1284" s="2544"/>
      <c r="O1284" s="2661" t="s">
        <v>1880</v>
      </c>
      <c r="P1284" s="2570">
        <f>'Part VIII-Threshold Criteria'!P190</f>
        <v>0</v>
      </c>
      <c r="Q1284" s="2570">
        <f>'Part VIII-Threshold Criteria'!Q190</f>
        <v>0</v>
      </c>
    </row>
    <row r="1285" spans="1:17">
      <c r="A1285" s="2699" t="s">
        <v>1998</v>
      </c>
      <c r="B1285" s="2722" t="s">
        <v>472</v>
      </c>
      <c r="D1285" s="2722"/>
      <c r="E1285" s="2722"/>
      <c r="F1285" s="2722"/>
      <c r="G1285" s="2722"/>
      <c r="H1285" s="2722"/>
      <c r="I1285" s="2722"/>
      <c r="J1285" s="2722"/>
      <c r="K1285" s="2722"/>
      <c r="L1285" s="2722"/>
      <c r="M1285" s="2722"/>
      <c r="O1285" s="2713" t="s">
        <v>1998</v>
      </c>
      <c r="P1285" s="2668" t="str">
        <f>'Part VIII-Threshold Criteria'!P191</f>
        <v>Yes</v>
      </c>
      <c r="Q1285" s="2668">
        <f>'Part VIII-Threshold Criteria'!Q191</f>
        <v>0</v>
      </c>
    </row>
    <row r="1286" spans="1:17">
      <c r="A1286" s="2699" t="s">
        <v>2000</v>
      </c>
      <c r="B1286" s="2722" t="s">
        <v>2659</v>
      </c>
      <c r="D1286" s="2722"/>
      <c r="E1286" s="2722"/>
      <c r="F1286" s="2722"/>
      <c r="G1286" s="2722"/>
      <c r="H1286" s="2722"/>
      <c r="I1286" s="2722"/>
      <c r="J1286" s="2722"/>
      <c r="K1286" s="2722"/>
      <c r="L1286" s="2722"/>
      <c r="M1286" s="2722"/>
      <c r="O1286" s="2713" t="s">
        <v>2000</v>
      </c>
      <c r="P1286" s="2668" t="str">
        <f>'Part VIII-Threshold Criteria'!P192</f>
        <v>Yes</v>
      </c>
      <c r="Q1286" s="2668">
        <f>'Part VIII-Threshold Criteria'!Q192</f>
        <v>0</v>
      </c>
    </row>
    <row r="1287" spans="1:17">
      <c r="A1287" s="2699" t="s">
        <v>756</v>
      </c>
      <c r="B1287" s="2722" t="s">
        <v>2660</v>
      </c>
      <c r="D1287" s="2722"/>
      <c r="E1287" s="2722"/>
      <c r="F1287" s="2722"/>
      <c r="G1287" s="2722"/>
      <c r="H1287" s="2722"/>
      <c r="I1287" s="2722"/>
      <c r="J1287" s="2722"/>
      <c r="K1287" s="2722"/>
      <c r="L1287" s="2722"/>
      <c r="M1287" s="2722"/>
      <c r="O1287" s="2713" t="s">
        <v>756</v>
      </c>
      <c r="P1287" s="2668" t="str">
        <f>'Part VIII-Threshold Criteria'!P193</f>
        <v>Yes</v>
      </c>
      <c r="Q1287" s="2668">
        <f>'Part VIII-Threshold Criteria'!Q193</f>
        <v>0</v>
      </c>
    </row>
    <row r="1288" spans="1:17">
      <c r="A1288" s="2699"/>
      <c r="B1288" s="2662" t="s">
        <v>2648</v>
      </c>
      <c r="C1288" s="2662"/>
      <c r="D1288" s="2703" t="s">
        <v>1749</v>
      </c>
      <c r="E1288" s="2598" t="s">
        <v>2661</v>
      </c>
      <c r="G1288" s="2722"/>
      <c r="H1288" s="2722"/>
      <c r="I1288" s="2722"/>
      <c r="J1288" s="2722"/>
      <c r="K1288" s="2722"/>
      <c r="L1288" s="2722"/>
      <c r="M1288" s="2722"/>
      <c r="O1288" s="2723" t="s">
        <v>1749</v>
      </c>
      <c r="P1288" s="2668" t="str">
        <f>'Part VIII-Threshold Criteria'!P194</f>
        <v>Yes</v>
      </c>
      <c r="Q1288" s="2668">
        <f>'Part VIII-Threshold Criteria'!Q194</f>
        <v>0</v>
      </c>
    </row>
    <row r="1289" spans="1:17">
      <c r="A1289" s="2699"/>
      <c r="B1289" s="2662"/>
      <c r="C1289" s="2662"/>
      <c r="D1289" s="2703" t="s">
        <v>1750</v>
      </c>
      <c r="E1289" s="2598" t="s">
        <v>4777</v>
      </c>
      <c r="G1289" s="2722"/>
      <c r="H1289" s="2722"/>
      <c r="I1289" s="2722"/>
      <c r="J1289" s="2722"/>
      <c r="K1289" s="2722"/>
      <c r="L1289" s="2722"/>
      <c r="M1289" s="2722"/>
      <c r="O1289" s="2723" t="s">
        <v>1750</v>
      </c>
      <c r="P1289" s="2668" t="str">
        <f>'Part VIII-Threshold Criteria'!P195</f>
        <v>Yes</v>
      </c>
      <c r="Q1289" s="2668">
        <f>'Part VIII-Threshold Criteria'!Q195</f>
        <v>0</v>
      </c>
    </row>
    <row r="1290" spans="1:17" ht="12.75" customHeight="1">
      <c r="A1290" s="2699"/>
      <c r="B1290" s="2679"/>
      <c r="C1290" s="2722"/>
      <c r="D1290" s="2713" t="s">
        <v>1751</v>
      </c>
      <c r="E1290" s="2662" t="s">
        <v>3774</v>
      </c>
      <c r="F1290" s="2662"/>
      <c r="G1290" s="2662"/>
      <c r="H1290" s="2662"/>
      <c r="I1290" s="2662"/>
      <c r="J1290" s="2662"/>
      <c r="K1290" s="2662"/>
      <c r="L1290" s="2662"/>
      <c r="M1290" s="2662"/>
      <c r="N1290" s="2662"/>
      <c r="O1290" s="2713" t="s">
        <v>1751</v>
      </c>
      <c r="P1290" s="2714" t="str">
        <f>'Part VIII-Threshold Criteria'!P196</f>
        <v>Yes</v>
      </c>
      <c r="Q1290" s="2714">
        <f>'Part VIII-Threshold Criteria'!Q196</f>
        <v>0</v>
      </c>
    </row>
    <row r="1291" spans="1:17">
      <c r="A1291" s="2699"/>
      <c r="C1291" s="2722"/>
      <c r="D1291" s="2703" t="s">
        <v>2380</v>
      </c>
      <c r="E1291" s="2598" t="s">
        <v>2663</v>
      </c>
      <c r="G1291" s="2722"/>
      <c r="H1291" s="2722"/>
      <c r="I1291" s="2722"/>
      <c r="J1291" s="2722"/>
      <c r="K1291" s="2722"/>
      <c r="L1291" s="2722"/>
      <c r="M1291" s="2722"/>
      <c r="O1291" s="2723" t="s">
        <v>2380</v>
      </c>
      <c r="P1291" s="2668" t="str">
        <f>'Part VIII-Threshold Criteria'!P197</f>
        <v>Yes</v>
      </c>
      <c r="Q1291" s="2668">
        <f>'Part VIII-Threshold Criteria'!Q197</f>
        <v>0</v>
      </c>
    </row>
    <row r="1292" spans="1:17" ht="12.75" customHeight="1">
      <c r="A1292" s="2699"/>
      <c r="B1292" s="2679"/>
      <c r="C1292" s="2722"/>
      <c r="D1292" s="2713" t="s">
        <v>1560</v>
      </c>
      <c r="E1292" s="2662" t="s">
        <v>2664</v>
      </c>
      <c r="F1292" s="2662"/>
      <c r="G1292" s="2662"/>
      <c r="H1292" s="2662"/>
      <c r="I1292" s="2662"/>
      <c r="J1292" s="2662"/>
      <c r="K1292" s="2662"/>
      <c r="L1292" s="2662"/>
      <c r="M1292" s="2662"/>
      <c r="N1292" s="2662"/>
      <c r="O1292" s="2713" t="s">
        <v>1560</v>
      </c>
      <c r="P1292" s="2714" t="str">
        <f>'Part VIII-Threshold Criteria'!P198</f>
        <v>N/Ap</v>
      </c>
      <c r="Q1292" s="2714">
        <f>'Part VIII-Threshold Criteria'!Q198</f>
        <v>0</v>
      </c>
    </row>
    <row r="1293" spans="1:17" ht="12.75" customHeight="1">
      <c r="A1293" s="2699"/>
      <c r="B1293" s="2679"/>
      <c r="C1293" s="2722"/>
      <c r="D1293" s="2713" t="s">
        <v>1561</v>
      </c>
      <c r="E1293" s="2662" t="s">
        <v>3932</v>
      </c>
      <c r="F1293" s="2662"/>
      <c r="G1293" s="2662"/>
      <c r="H1293" s="2662"/>
      <c r="I1293" s="2662"/>
      <c r="J1293" s="2662"/>
      <c r="K1293" s="2662"/>
      <c r="L1293" s="2662"/>
      <c r="M1293" s="2662"/>
      <c r="N1293" s="2662"/>
      <c r="O1293" s="2713" t="s">
        <v>1561</v>
      </c>
      <c r="P1293" s="2714" t="str">
        <f>'Part VIII-Threshold Criteria'!P199</f>
        <v>N/Ap</v>
      </c>
      <c r="Q1293" s="2714">
        <f>'Part VIII-Threshold Criteria'!Q199</f>
        <v>0</v>
      </c>
    </row>
    <row r="1294" spans="1:17" ht="12.75" customHeight="1">
      <c r="A1294" s="2699" t="s">
        <v>2130</v>
      </c>
      <c r="B1294" s="2662" t="s">
        <v>2665</v>
      </c>
      <c r="C1294" s="2662"/>
      <c r="D1294" s="2662"/>
      <c r="E1294" s="2662"/>
      <c r="F1294" s="2662"/>
      <c r="G1294" s="2662"/>
      <c r="H1294" s="2662"/>
      <c r="I1294" s="2662"/>
      <c r="J1294" s="2662"/>
      <c r="K1294" s="2662"/>
      <c r="L1294" s="2662"/>
      <c r="M1294" s="2662"/>
      <c r="N1294" s="2662"/>
      <c r="O1294" s="2713" t="s">
        <v>2130</v>
      </c>
      <c r="P1294" s="2714" t="str">
        <f>'Part VIII-Threshold Criteria'!P200</f>
        <v>Yes</v>
      </c>
      <c r="Q1294" s="2714">
        <f>'Part VIII-Threshold Criteria'!Q200</f>
        <v>0</v>
      </c>
    </row>
    <row r="1295" spans="1:17">
      <c r="A1295" s="2699" t="s">
        <v>1747</v>
      </c>
      <c r="B1295" s="2722" t="s">
        <v>2394</v>
      </c>
      <c r="D1295" s="2722"/>
      <c r="E1295" s="2722"/>
      <c r="F1295" s="2722"/>
      <c r="G1295" s="2722"/>
      <c r="H1295" s="2722"/>
      <c r="I1295" s="2722"/>
      <c r="J1295" s="2722"/>
      <c r="K1295" s="2722"/>
      <c r="L1295" s="2722"/>
      <c r="M1295" s="2722"/>
      <c r="O1295" s="2713" t="s">
        <v>1747</v>
      </c>
      <c r="P1295" s="2668" t="str">
        <f>'Part VIII-Threshold Criteria'!P201</f>
        <v>Yes</v>
      </c>
      <c r="Q1295" s="2668">
        <f>'Part VIII-Threshold Criteria'!Q201</f>
        <v>0</v>
      </c>
    </row>
    <row r="1296" spans="1:17">
      <c r="B1296" s="2599" t="s">
        <v>3783</v>
      </c>
      <c r="D1296" s="2599"/>
      <c r="E1296" s="2599"/>
      <c r="F1296" s="2599"/>
      <c r="G1296" s="2599"/>
      <c r="H1296" s="2598"/>
      <c r="I1296" s="2660"/>
      <c r="J1296" s="2660"/>
      <c r="K1296" s="2660"/>
      <c r="L1296" s="2562"/>
      <c r="M1296" s="2562"/>
      <c r="N1296" s="2562"/>
      <c r="O1296" s="2562"/>
      <c r="P1296" s="2562"/>
      <c r="Q1296" s="2562"/>
    </row>
    <row r="1297" spans="1:17" ht="168.75">
      <c r="A1297" s="2662" t="str">
        <f>'Part VIII-Threshold Criteria'!A203</f>
        <v>Site is zoned R4, multi family housing.  That designation is the same in Dublin as the RM zone.  The apartments conform with the zoning ordinance.</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1879</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2675</v>
      </c>
      <c r="C1301" s="2545"/>
      <c r="D1301" s="2665"/>
      <c r="E1301" s="2724"/>
      <c r="F1301" s="2724"/>
      <c r="G1301" s="2665"/>
      <c r="J1301" s="2662"/>
      <c r="K1301" s="2662"/>
      <c r="L1301" s="2662"/>
      <c r="M1301" s="2662"/>
      <c r="N1301" s="2662"/>
      <c r="O1301" s="2661" t="s">
        <v>1880</v>
      </c>
      <c r="P1301" s="2570">
        <f>'Part VIII-Threshold Criteria'!P207</f>
        <v>0</v>
      </c>
      <c r="Q1301" s="2570">
        <f>'Part VIII-Threshold Criteria'!Q207</f>
        <v>0</v>
      </c>
    </row>
    <row r="1302" spans="1:17">
      <c r="A1302" s="2581"/>
      <c r="B1302" s="2687" t="s">
        <v>98</v>
      </c>
      <c r="D1302" s="2687"/>
      <c r="E1302" s="2687"/>
      <c r="F1302" s="2687"/>
      <c r="G1302" s="2687"/>
      <c r="H1302" s="2703" t="s">
        <v>1749</v>
      </c>
      <c r="I1302" s="478" t="s">
        <v>153</v>
      </c>
      <c r="J1302" s="2659" t="str">
        <f>'Part VIII-Threshold Criteria'!J208</f>
        <v>Not Used</v>
      </c>
      <c r="K1302" s="2659">
        <f>'Part VIII-Threshold Criteria'!K208</f>
        <v>0</v>
      </c>
      <c r="L1302" s="2659">
        <f>'Part VIII-Threshold Criteria'!L208</f>
        <v>0</v>
      </c>
      <c r="M1302" s="2659">
        <f>'Part VIII-Threshold Criteria'!M208</f>
        <v>0</v>
      </c>
      <c r="N1302" s="2659">
        <f>'Part VIII-Threshold Criteria'!N208</f>
        <v>0</v>
      </c>
      <c r="O1302" s="2703" t="s">
        <v>1749</v>
      </c>
      <c r="P1302" s="2668" t="str">
        <f>'Part VIII-Threshold Criteria'!P208</f>
        <v>No</v>
      </c>
      <c r="Q1302" s="2668">
        <f>'Part VIII-Threshold Criteria'!Q208</f>
        <v>0</v>
      </c>
    </row>
    <row r="1303" spans="1:17">
      <c r="A1303" s="2581"/>
      <c r="B1303" s="2599" t="s">
        <v>3783</v>
      </c>
      <c r="C1303" s="2501"/>
      <c r="D1303" s="2501"/>
      <c r="E1303" s="2501"/>
      <c r="F1303" s="2501"/>
      <c r="H1303" s="2703" t="s">
        <v>1750</v>
      </c>
      <c r="I1303" s="478" t="s">
        <v>1607</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1750</v>
      </c>
      <c r="P1303" s="2668" t="str">
        <f>'Part VIII-Threshold Criteria'!P209</f>
        <v>Yes</v>
      </c>
      <c r="Q1303" s="2668">
        <f>'Part VIII-Threshold Criteria'!Q209</f>
        <v>0</v>
      </c>
    </row>
    <row r="1304" spans="1:17" ht="225">
      <c r="A1304" s="2662" t="str">
        <f>'Part VIII-Threshold Criteria'!A210</f>
        <v>This project is total electric and will not use gas.  Georgia Power is the electric provider and a letter has been obtained concerning capacity and willingness to continue power to this existing complex.</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1879</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2676</v>
      </c>
      <c r="C1308" s="2544"/>
      <c r="D1308" s="2659"/>
      <c r="E1308" s="2659"/>
      <c r="F1308" s="2659"/>
      <c r="G1308" s="2665"/>
      <c r="H1308" s="2665"/>
      <c r="I1308" s="2665"/>
      <c r="J1308" s="2665"/>
      <c r="K1308" s="2665"/>
      <c r="L1308" s="2665"/>
      <c r="M1308" s="2665"/>
      <c r="O1308" s="2661" t="s">
        <v>1880</v>
      </c>
      <c r="P1308" s="2570">
        <f>'Part VIII-Threshold Criteria'!P214</f>
        <v>0</v>
      </c>
      <c r="Q1308" s="2570">
        <f>'Part VIII-Threshold Criteria'!Q214</f>
        <v>0</v>
      </c>
    </row>
    <row r="1310" spans="1:17">
      <c r="A1310" s="2699" t="s">
        <v>1998</v>
      </c>
      <c r="B1310" s="2712" t="s">
        <v>1749</v>
      </c>
      <c r="C1310" s="2725" t="s">
        <v>518</v>
      </c>
      <c r="E1310" s="2725"/>
      <c r="F1310" s="2725"/>
      <c r="G1310" s="2725"/>
      <c r="H1310" s="2725"/>
      <c r="I1310" s="2725"/>
      <c r="J1310" s="2725"/>
      <c r="K1310" s="2725"/>
      <c r="L1310" s="2725"/>
      <c r="M1310" s="2725"/>
      <c r="N1310" s="2725"/>
      <c r="O1310" s="2713" t="s">
        <v>1497</v>
      </c>
      <c r="P1310" s="2668" t="str">
        <f>'Part VIII-Threshold Criteria'!P216</f>
        <v>No</v>
      </c>
      <c r="Q1310" s="2668">
        <f>'Part VIII-Threshold Criteria'!Q216</f>
        <v>0</v>
      </c>
    </row>
    <row r="1311" spans="1:17">
      <c r="A1311" s="2699"/>
      <c r="B1311" s="2712" t="s">
        <v>1750</v>
      </c>
      <c r="C1311" s="2725" t="s">
        <v>1478</v>
      </c>
      <c r="E1311" s="2725"/>
      <c r="F1311" s="2725"/>
      <c r="G1311" s="2725"/>
      <c r="H1311" s="2725"/>
      <c r="I1311" s="2725"/>
      <c r="J1311" s="2725"/>
      <c r="K1311" s="2725"/>
      <c r="L1311" s="2725"/>
      <c r="M1311" s="2725"/>
      <c r="N1311" s="2725"/>
      <c r="O1311" s="2713" t="s">
        <v>1750</v>
      </c>
      <c r="P1311" s="2668">
        <f>'Part VIII-Threshold Criteria'!P217</f>
        <v>0</v>
      </c>
      <c r="Q1311" s="2668">
        <f>'Part VIII-Threshold Criteria'!Q217</f>
        <v>0</v>
      </c>
    </row>
    <row r="1312" spans="1:17" ht="12.75" customHeight="1">
      <c r="A1312" s="2699" t="s">
        <v>2000</v>
      </c>
      <c r="B1312" s="2662" t="s">
        <v>1862</v>
      </c>
      <c r="C1312" s="2662"/>
      <c r="D1312" s="2662"/>
      <c r="E1312" s="2662"/>
      <c r="F1312" s="2662"/>
      <c r="G1312" s="2662"/>
      <c r="H1312" s="2703" t="s">
        <v>1749</v>
      </c>
      <c r="I1312" s="478" t="s">
        <v>640</v>
      </c>
      <c r="J1312" s="2659" t="str">
        <f>'Part VIII-Threshold Criteria'!J218</f>
        <v>City of Dublin</v>
      </c>
      <c r="K1312" s="2659">
        <f>'Part VIII-Threshold Criteria'!K218</f>
        <v>0</v>
      </c>
      <c r="L1312" s="2659">
        <f>'Part VIII-Threshold Criteria'!L218</f>
        <v>0</v>
      </c>
      <c r="M1312" s="2659">
        <f>'Part VIII-Threshold Criteria'!M218</f>
        <v>0</v>
      </c>
      <c r="N1312" s="2659">
        <f>'Part VIII-Threshold Criteria'!N218</f>
        <v>0</v>
      </c>
      <c r="O1312" s="2703" t="s">
        <v>1457</v>
      </c>
      <c r="P1312" s="2668" t="str">
        <f>'Part VIII-Threshold Criteria'!P218</f>
        <v>Yes</v>
      </c>
      <c r="Q1312" s="2668">
        <f>'Part VIII-Threshold Criteria'!Q218</f>
        <v>0</v>
      </c>
    </row>
    <row r="1313" spans="1:17">
      <c r="A1313" s="2560"/>
      <c r="B1313" s="2662"/>
      <c r="C1313" s="2662"/>
      <c r="D1313" s="2662"/>
      <c r="E1313" s="2662"/>
      <c r="F1313" s="2662"/>
      <c r="G1313" s="2662"/>
      <c r="H1313" s="2703" t="s">
        <v>1750</v>
      </c>
      <c r="I1313" s="478" t="s">
        <v>117</v>
      </c>
      <c r="J1313" s="2659" t="str">
        <f>'Part VIII-Threshold Criteria'!J219</f>
        <v>City of Dublin</v>
      </c>
      <c r="K1313" s="2659">
        <f>'Part VIII-Threshold Criteria'!K219</f>
        <v>0</v>
      </c>
      <c r="L1313" s="2659">
        <f>'Part VIII-Threshold Criteria'!L219</f>
        <v>0</v>
      </c>
      <c r="M1313" s="2659">
        <f>'Part VIII-Threshold Criteria'!M219</f>
        <v>0</v>
      </c>
      <c r="N1313" s="2659">
        <f>'Part VIII-Threshold Criteria'!N219</f>
        <v>0</v>
      </c>
      <c r="O1313" s="2703" t="s">
        <v>1750</v>
      </c>
      <c r="P1313" s="2668" t="str">
        <f>'Part VIII-Threshold Criteria'!P219</f>
        <v>Yes</v>
      </c>
      <c r="Q1313" s="2668">
        <f>'Part VIII-Threshold Criteria'!Q219</f>
        <v>0</v>
      </c>
    </row>
    <row r="1314" spans="1:17">
      <c r="A1314" s="2701" t="s">
        <v>756</v>
      </c>
      <c r="B1314" s="478" t="s">
        <v>3939</v>
      </c>
      <c r="D1314" s="478"/>
      <c r="E1314" s="478"/>
      <c r="F1314" s="478"/>
      <c r="G1314" s="478"/>
      <c r="H1314" s="478"/>
      <c r="I1314" s="478"/>
      <c r="J1314" s="478"/>
      <c r="K1314" s="2355"/>
      <c r="L1314" s="478"/>
      <c r="M1314" s="478"/>
      <c r="O1314" s="2703" t="s">
        <v>756</v>
      </c>
      <c r="P1314" s="2668" t="str">
        <f>'Part VIII-Threshold Criteria'!P220</f>
        <v>Yes</v>
      </c>
      <c r="Q1314" s="2668">
        <f>'Part VIII-Threshold Criteria'!Q220</f>
        <v>0</v>
      </c>
    </row>
    <row r="1315" spans="1:17">
      <c r="A1315" s="2701" t="s">
        <v>2130</v>
      </c>
      <c r="B1315" s="478" t="s">
        <v>3940</v>
      </c>
      <c r="D1315" s="478"/>
      <c r="E1315" s="478"/>
      <c r="F1315" s="478"/>
      <c r="G1315" s="478"/>
      <c r="H1315" s="478"/>
      <c r="I1315" s="478"/>
      <c r="J1315" s="478"/>
      <c r="K1315" s="2355"/>
      <c r="L1315" s="478"/>
      <c r="M1315" s="478"/>
      <c r="O1315" s="2703" t="s">
        <v>2130</v>
      </c>
      <c r="P1315" s="2668" t="str">
        <f>'Part VIII-Threshold Criteria'!P221</f>
        <v>Yes</v>
      </c>
      <c r="Q1315" s="2668">
        <f>'Part VIII-Threshold Criteria'!Q221</f>
        <v>0</v>
      </c>
    </row>
    <row r="1316" spans="1:17">
      <c r="B1316" s="2599" t="s">
        <v>3783</v>
      </c>
      <c r="D1316" s="2599"/>
      <c r="E1316" s="2599"/>
      <c r="F1316" s="2599"/>
      <c r="G1316" s="2599"/>
      <c r="H1316" s="2598"/>
      <c r="I1316" s="2660"/>
      <c r="J1316" s="2660"/>
      <c r="K1316" s="2660"/>
      <c r="L1316" s="2562"/>
      <c r="M1316" s="2562"/>
      <c r="N1316" s="2562"/>
      <c r="O1316" s="2562"/>
      <c r="P1316" s="2562"/>
      <c r="Q1316" s="2562"/>
    </row>
    <row r="1317" spans="1:17" ht="135">
      <c r="A1317" s="2662" t="str">
        <f>'Part VIII-Threshold Criteria'!A223</f>
        <v>Both water and sewer are provided by the City of Dublin and have been over the last 20 years and they will continue.</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1879</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1738</v>
      </c>
      <c r="B1321" s="2545" t="s">
        <v>2677</v>
      </c>
      <c r="C1321" s="2695"/>
      <c r="D1321" s="2665"/>
      <c r="E1321" s="2665"/>
      <c r="F1321" s="2665"/>
      <c r="G1321" s="2665"/>
      <c r="H1321" s="2665"/>
      <c r="I1321" s="2665"/>
      <c r="J1321" s="2665"/>
      <c r="K1321" s="2665"/>
      <c r="L1321" s="2665"/>
      <c r="M1321" s="2665"/>
      <c r="O1321" s="2661" t="s">
        <v>1880</v>
      </c>
      <c r="P1321" s="2570">
        <f>'Part VIII-Threshold Criteria'!P227</f>
        <v>0</v>
      </c>
      <c r="Q1321" s="2570">
        <f>'Part VIII-Threshold Criteria'!Q227</f>
        <v>0</v>
      </c>
    </row>
    <row r="1322" spans="1:17">
      <c r="B1322" s="1156" t="s">
        <v>1202</v>
      </c>
      <c r="N1322" s="2550"/>
      <c r="P1322" s="2668" t="str">
        <f>'Part VIII-Threshold Criteria'!P228</f>
        <v>No</v>
      </c>
      <c r="Q1322" s="2668">
        <f>'Part VIII-Threshold Criteria'!Q228</f>
        <v>0</v>
      </c>
    </row>
    <row r="1323" spans="1:17">
      <c r="A1323" s="2701" t="s">
        <v>1998</v>
      </c>
      <c r="B1323" s="478" t="s">
        <v>4778</v>
      </c>
      <c r="D1323" s="2355"/>
      <c r="E1323" s="2355"/>
      <c r="F1323" s="2355"/>
      <c r="G1323" s="2355"/>
      <c r="H1323" s="2355"/>
      <c r="I1323" s="2355"/>
      <c r="J1323" s="2355"/>
      <c r="K1323" s="2355"/>
      <c r="L1323" s="2355"/>
      <c r="M1323" s="2355"/>
      <c r="O1323" s="2703" t="s">
        <v>1998</v>
      </c>
      <c r="P1323" s="2668" t="str">
        <f>'Part VIII-Threshold Criteria'!P229</f>
        <v>Agree</v>
      </c>
      <c r="Q1323" s="2668">
        <f>'Part VIII-Threshold Criteria'!Q229</f>
        <v>0</v>
      </c>
    </row>
    <row r="1324" spans="1:17">
      <c r="A1324" s="2701"/>
      <c r="B1324" s="2703" t="s">
        <v>1749</v>
      </c>
      <c r="C1324" s="478" t="s">
        <v>1945</v>
      </c>
      <c r="E1324" s="478"/>
      <c r="F1324" s="478"/>
      <c r="G1324" s="478"/>
      <c r="H1324" s="478"/>
      <c r="I1324" s="2355"/>
      <c r="J1324" s="2703" t="s">
        <v>1497</v>
      </c>
      <c r="K1324" s="2659" t="str">
        <f>'Part VIII-Threshold Criteria'!K230</f>
        <v>Building</v>
      </c>
      <c r="L1324" s="2659">
        <f>'Part VIII-Threshold Criteria'!L230</f>
        <v>0</v>
      </c>
      <c r="Q1324" s="2668">
        <f>'Part VIII-Threshold Criteria'!Q230</f>
        <v>0</v>
      </c>
    </row>
    <row r="1325" spans="1:17" ht="13.5">
      <c r="A1325" s="2701"/>
      <c r="B1325" s="2703" t="s">
        <v>1750</v>
      </c>
      <c r="C1325" s="2598" t="s">
        <v>2740</v>
      </c>
      <c r="E1325" s="2598"/>
      <c r="F1325" s="2598"/>
      <c r="G1325" s="2598"/>
      <c r="H1325" s="2598"/>
      <c r="I1325" s="2355"/>
      <c r="J1325" s="2703" t="s">
        <v>1498</v>
      </c>
      <c r="K1325" s="2659" t="str">
        <f>'Part VIII-Threshold Criteria'!K231</f>
        <v>Gazebo</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1751</v>
      </c>
      <c r="C1326" s="2598" t="s">
        <v>562</v>
      </c>
      <c r="E1326" s="2598"/>
      <c r="F1326" s="2598"/>
      <c r="G1326" s="2598"/>
      <c r="H1326" s="2598"/>
      <c r="I1326" s="2355"/>
      <c r="J1326" s="2703" t="s">
        <v>1499</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2000</v>
      </c>
      <c r="B1327" s="478" t="s">
        <v>2525</v>
      </c>
      <c r="D1327" s="478"/>
      <c r="E1327" s="478"/>
      <c r="F1327" s="478"/>
      <c r="G1327" s="478"/>
      <c r="H1327" s="478"/>
      <c r="I1327" s="478"/>
      <c r="J1327" s="478"/>
      <c r="K1327" s="2355"/>
      <c r="L1327" s="2355"/>
      <c r="M1327" s="2355"/>
      <c r="N1327" s="2355"/>
      <c r="O1327" s="2703" t="s">
        <v>2000</v>
      </c>
      <c r="P1327" s="2668" t="str">
        <f>'Part VIII-Threshold Criteria'!P233</f>
        <v>Agree</v>
      </c>
      <c r="Q1327" s="2668">
        <f>'Part VIII-Threshold Criteria'!Q233</f>
        <v>0</v>
      </c>
    </row>
    <row r="1328" spans="1:17">
      <c r="A1328" s="2701"/>
      <c r="B1328" s="478" t="s">
        <v>4779</v>
      </c>
      <c r="D1328" s="478"/>
      <c r="E1328" s="478"/>
      <c r="F1328" s="478"/>
      <c r="G1328" s="478"/>
      <c r="H1328" s="478"/>
      <c r="I1328" s="478"/>
      <c r="J1328" s="478"/>
      <c r="K1328" s="2355"/>
      <c r="L1328" s="2355"/>
      <c r="M1328" s="2355"/>
      <c r="N1328" s="2355"/>
      <c r="O1328" s="2355"/>
      <c r="P1328" s="2725" t="s">
        <v>2</v>
      </c>
      <c r="Q1328" s="2725"/>
    </row>
    <row r="1329" spans="1:17">
      <c r="A1329" s="2701"/>
      <c r="C1329" s="478" t="s">
        <v>2742</v>
      </c>
      <c r="D1329" s="478"/>
      <c r="E1329" s="478"/>
      <c r="F1329" s="478"/>
      <c r="H1329" s="2727" t="s">
        <v>780</v>
      </c>
      <c r="I1329" s="2357" t="s">
        <v>781</v>
      </c>
      <c r="K1329" s="478" t="s">
        <v>2742</v>
      </c>
      <c r="M1329" s="2355"/>
      <c r="N1329" s="2355"/>
      <c r="O1329" s="2727"/>
      <c r="P1329" s="2415" t="s">
        <v>780</v>
      </c>
      <c r="Q1329" s="2357" t="s">
        <v>781</v>
      </c>
    </row>
    <row r="1330" spans="1:17" ht="33.75">
      <c r="A1330" s="2668"/>
      <c r="B1330" s="2703" t="s">
        <v>1749</v>
      </c>
      <c r="C1330" s="2662" t="str">
        <f>'Part VIII-Threshold Criteria'!C236</f>
        <v>Equipped Computer Center</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1751</v>
      </c>
      <c r="K1330" s="2662">
        <f>'Part VIII-Threshold Criteria'!K236</f>
        <v>0</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c r="A1331" s="2668"/>
      <c r="B1331" s="2703" t="s">
        <v>1750</v>
      </c>
      <c r="C1331" s="2662" t="str">
        <f>'Part VIII-Threshold Criteria'!C237</f>
        <v>Playground</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2380</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756</v>
      </c>
      <c r="B1332" s="478" t="s">
        <v>1392</v>
      </c>
      <c r="C1332" s="478"/>
      <c r="E1332" s="478"/>
      <c r="F1332" s="478"/>
      <c r="G1332" s="478"/>
      <c r="H1332" s="478"/>
      <c r="I1332" s="478"/>
      <c r="J1332" s="478"/>
      <c r="K1332" s="2355"/>
      <c r="L1332" s="478"/>
      <c r="M1332" s="478"/>
      <c r="O1332" s="2703" t="s">
        <v>756</v>
      </c>
      <c r="P1332" s="2668" t="str">
        <f>'Part VIII-Threshold Criteria'!P238</f>
        <v>Agree</v>
      </c>
      <c r="Q1332" s="2668">
        <f>'Part VIII-Threshold Criteria'!Q238</f>
        <v>0</v>
      </c>
    </row>
    <row r="1333" spans="1:17">
      <c r="A1333" s="2701"/>
      <c r="B1333" s="2703" t="s">
        <v>1749</v>
      </c>
      <c r="C1333" s="478" t="s">
        <v>3487</v>
      </c>
      <c r="E1333" s="478"/>
      <c r="F1333" s="478"/>
      <c r="L1333" s="2355"/>
      <c r="M1333" s="2355"/>
      <c r="O1333" s="2703" t="s">
        <v>1749</v>
      </c>
      <c r="P1333" s="2668" t="str">
        <f>'Part VIII-Threshold Criteria'!P239</f>
        <v>Yes</v>
      </c>
      <c r="Q1333" s="2668">
        <f>'Part VIII-Threshold Criteria'!Q239</f>
        <v>0</v>
      </c>
    </row>
    <row r="1334" spans="1:17">
      <c r="B1334" s="2703" t="s">
        <v>1750</v>
      </c>
      <c r="C1334" s="2598" t="s">
        <v>2825</v>
      </c>
      <c r="E1334" s="2598"/>
      <c r="F1334" s="2598"/>
      <c r="L1334" s="2355"/>
      <c r="M1334" s="2355"/>
      <c r="O1334" s="2703" t="s">
        <v>1750</v>
      </c>
      <c r="P1334" s="2668" t="str">
        <f>'Part VIII-Threshold Criteria'!P240</f>
        <v>Yes</v>
      </c>
      <c r="Q1334" s="2668">
        <f>'Part VIII-Threshold Criteria'!Q240</f>
        <v>0</v>
      </c>
    </row>
    <row r="1335" spans="1:17">
      <c r="B1335" s="2703" t="s">
        <v>1751</v>
      </c>
      <c r="C1335" s="2598" t="s">
        <v>2826</v>
      </c>
      <c r="E1335" s="2598"/>
      <c r="F1335" s="2598"/>
      <c r="G1335" s="2598"/>
      <c r="H1335" s="2598"/>
      <c r="I1335" s="2355"/>
      <c r="J1335" s="2355"/>
      <c r="K1335" s="2355"/>
      <c r="L1335" s="2355"/>
      <c r="M1335" s="2355"/>
      <c r="O1335" s="2703" t="s">
        <v>1751</v>
      </c>
      <c r="P1335" s="2668" t="str">
        <f>'Part VIII-Threshold Criteria'!P241</f>
        <v>Yes</v>
      </c>
      <c r="Q1335" s="2668">
        <f>'Part VIII-Threshold Criteria'!Q241</f>
        <v>0</v>
      </c>
    </row>
    <row r="1336" spans="1:17">
      <c r="A1336" s="2701"/>
      <c r="B1336" s="2703" t="s">
        <v>2380</v>
      </c>
      <c r="C1336" s="2598" t="s">
        <v>2827</v>
      </c>
      <c r="E1336" s="2598"/>
      <c r="F1336" s="2598"/>
      <c r="G1336" s="2598"/>
      <c r="H1336" s="2598"/>
      <c r="I1336" s="2355"/>
      <c r="J1336" s="2355"/>
      <c r="K1336" s="2355"/>
      <c r="L1336" s="2355"/>
      <c r="M1336" s="2355"/>
      <c r="O1336" s="2703" t="s">
        <v>2380</v>
      </c>
      <c r="P1336" s="2668" t="str">
        <f>'Part VIII-Threshold Criteria'!P242</f>
        <v>Yes</v>
      </c>
      <c r="Q1336" s="2668">
        <f>'Part VIII-Threshold Criteria'!Q242</f>
        <v>0</v>
      </c>
    </row>
    <row r="1337" spans="1:17">
      <c r="A1337" s="2701"/>
      <c r="B1337" s="2703" t="s">
        <v>1560</v>
      </c>
      <c r="C1337" s="2598" t="s">
        <v>2828</v>
      </c>
      <c r="E1337" s="2598"/>
      <c r="F1337" s="2598"/>
      <c r="G1337" s="2598"/>
      <c r="H1337" s="2598"/>
      <c r="I1337" s="2355"/>
      <c r="J1337" s="2355"/>
      <c r="K1337" s="2355"/>
      <c r="L1337" s="2355"/>
      <c r="M1337" s="2355"/>
      <c r="O1337" s="2703" t="s">
        <v>1560</v>
      </c>
      <c r="P1337" s="2668" t="str">
        <f>'Part VIII-Threshold Criteria'!P243</f>
        <v>Yes</v>
      </c>
      <c r="Q1337" s="2668">
        <f>'Part VIII-Threshold Criteria'!Q243</f>
        <v>0</v>
      </c>
    </row>
    <row r="1338" spans="1:17">
      <c r="A1338" s="2701"/>
      <c r="B1338" s="2703" t="s">
        <v>1561</v>
      </c>
      <c r="C1338" s="478" t="s">
        <v>782</v>
      </c>
      <c r="E1338" s="478"/>
      <c r="F1338" s="478"/>
      <c r="G1338" s="478"/>
      <c r="H1338" s="478"/>
      <c r="I1338" s="2355"/>
      <c r="J1338" s="2355"/>
      <c r="K1338" s="2355"/>
      <c r="L1338" s="2355"/>
      <c r="M1338" s="2355"/>
      <c r="O1338" s="2703" t="s">
        <v>2816</v>
      </c>
      <c r="P1338" s="2668" t="str">
        <f>'Part VIII-Threshold Criteria'!P244</f>
        <v>Yes</v>
      </c>
      <c r="Q1338" s="2668">
        <f>'Part VIII-Threshold Criteria'!Q244</f>
        <v>0</v>
      </c>
    </row>
    <row r="1339" spans="1:17">
      <c r="A1339" s="2701"/>
      <c r="B1339" s="2703"/>
      <c r="C1339" s="478" t="s">
        <v>1500</v>
      </c>
      <c r="E1339" s="478"/>
      <c r="F1339" s="478"/>
      <c r="G1339" s="478"/>
      <c r="H1339" s="478"/>
      <c r="I1339" s="2355"/>
      <c r="J1339" s="2355"/>
      <c r="K1339" s="2355"/>
      <c r="L1339" s="2355"/>
      <c r="M1339" s="2355"/>
      <c r="O1339" s="2703" t="s">
        <v>2817</v>
      </c>
      <c r="P1339" s="2668" t="str">
        <f>'Part VIII-Threshold Criteria'!P245</f>
        <v>No</v>
      </c>
      <c r="Q1339" s="2668">
        <f>'Part VIII-Threshold Criteria'!Q245</f>
        <v>0</v>
      </c>
    </row>
    <row r="1340" spans="1:17">
      <c r="A1340" s="2701" t="s">
        <v>2130</v>
      </c>
      <c r="B1340" s="478" t="s">
        <v>3689</v>
      </c>
      <c r="C1340" s="478"/>
      <c r="E1340" s="478"/>
      <c r="F1340" s="478"/>
      <c r="G1340" s="478"/>
      <c r="H1340" s="478"/>
      <c r="I1340" s="478"/>
      <c r="J1340" s="478"/>
      <c r="K1340" s="2355"/>
      <c r="L1340" s="478"/>
      <c r="M1340" s="478"/>
      <c r="O1340" s="2703" t="s">
        <v>2130</v>
      </c>
      <c r="P1340" s="2668" t="str">
        <f>'Part VIII-Threshold Criteria'!P246</f>
        <v>Agree</v>
      </c>
      <c r="Q1340" s="2668">
        <f>'Part VIII-Threshold Criteria'!Q246</f>
        <v>0</v>
      </c>
    </row>
    <row r="1341" spans="1:17">
      <c r="B1341" s="2703" t="s">
        <v>1749</v>
      </c>
      <c r="C1341" s="478" t="s">
        <v>1266</v>
      </c>
      <c r="E1341" s="2355"/>
      <c r="F1341" s="2355"/>
      <c r="G1341" s="478"/>
      <c r="H1341" s="2598"/>
      <c r="I1341" s="2355"/>
      <c r="J1341" s="2598"/>
      <c r="K1341" s="2355"/>
      <c r="L1341" s="2598"/>
      <c r="M1341" s="2598"/>
      <c r="O1341" s="2703" t="s">
        <v>1749</v>
      </c>
      <c r="P1341" s="2668">
        <f>'Part VIII-Threshold Criteria'!P247</f>
        <v>0</v>
      </c>
      <c r="Q1341" s="2668">
        <f>'Part VIII-Threshold Criteria'!Q247</f>
        <v>0</v>
      </c>
    </row>
    <row r="1342" spans="1:17">
      <c r="B1342" s="2703" t="s">
        <v>1750</v>
      </c>
      <c r="C1342" s="478" t="s">
        <v>3941</v>
      </c>
      <c r="E1342" s="2355"/>
      <c r="F1342" s="2355"/>
      <c r="G1342" s="2598"/>
      <c r="H1342" s="2598"/>
      <c r="I1342" s="2355"/>
      <c r="J1342" s="2598"/>
      <c r="K1342" s="2355"/>
      <c r="L1342" s="2598"/>
      <c r="M1342" s="2598"/>
      <c r="O1342" s="2703" t="s">
        <v>1750</v>
      </c>
      <c r="P1342" s="2668">
        <f>'Part VIII-Threshold Criteria'!P248</f>
        <v>0</v>
      </c>
      <c r="Q1342" s="2668">
        <f>'Part VIII-Threshold Criteria'!Q248</f>
        <v>0</v>
      </c>
    </row>
    <row r="1343" spans="1:17">
      <c r="B1343" s="2599" t="s">
        <v>3783</v>
      </c>
      <c r="D1343" s="2599"/>
      <c r="E1343" s="2599"/>
      <c r="F1343" s="2599"/>
      <c r="G1343" s="2599"/>
      <c r="H1343" s="2598"/>
      <c r="I1343" s="2660"/>
      <c r="J1343" s="2660"/>
      <c r="K1343" s="2660"/>
      <c r="L1343" s="2562"/>
      <c r="M1343" s="2562"/>
      <c r="N1343" s="2562"/>
      <c r="O1343" s="2562"/>
      <c r="P1343" s="2562"/>
      <c r="Q1343" s="2562"/>
    </row>
    <row r="1344" spans="1:17" ht="123.75">
      <c r="A1344" s="2662" t="str">
        <f>'Part VIII-Threshold Criteria'!A250</f>
        <v>There will be an addition to the existing managers office/laundry for a community room and computer center.</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1879</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2799</v>
      </c>
      <c r="B1348" s="2544" t="s">
        <v>2678</v>
      </c>
      <c r="C1348" s="2544"/>
      <c r="D1348" s="2659"/>
      <c r="E1348" s="2659"/>
      <c r="F1348" s="2659"/>
      <c r="G1348" s="2659"/>
      <c r="H1348" s="2665"/>
      <c r="I1348" s="2665"/>
      <c r="J1348" s="2665"/>
      <c r="K1348" s="2665"/>
      <c r="L1348" s="2632"/>
      <c r="M1348" s="2632"/>
      <c r="O1348" s="2661" t="s">
        <v>1880</v>
      </c>
      <c r="P1348" s="2570">
        <f>'Part VIII-Threshold Criteria'!P254</f>
        <v>0</v>
      </c>
      <c r="Q1348" s="2570">
        <f>'Part VIII-Threshold Criteria'!Q254</f>
        <v>0</v>
      </c>
    </row>
    <row r="1349" spans="1:17">
      <c r="L1349" s="2632"/>
      <c r="M1349" s="2632"/>
      <c r="N1349" s="1156"/>
    </row>
    <row r="1350" spans="1:17">
      <c r="A1350" s="2701" t="s">
        <v>1998</v>
      </c>
      <c r="B1350" s="478" t="s">
        <v>1279</v>
      </c>
      <c r="D1350" s="2355"/>
      <c r="E1350" s="478"/>
      <c r="F1350" s="478"/>
      <c r="J1350" s="2703" t="s">
        <v>1998</v>
      </c>
      <c r="K1350" s="2659" t="str">
        <f>'Part VIII-Threshold Criteria'!K256</f>
        <v>Pre-Application Waiver</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2000</v>
      </c>
      <c r="B1351" s="478" t="s">
        <v>2829</v>
      </c>
      <c r="D1351" s="478"/>
      <c r="E1351" s="478"/>
      <c r="F1351" s="478"/>
      <c r="J1351" s="2703" t="s">
        <v>2000</v>
      </c>
      <c r="K1351" s="2659">
        <f>'Part VIII-Threshold Criteria'!K257</f>
        <v>43239</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1959</v>
      </c>
      <c r="D1352" s="478"/>
      <c r="E1352" s="478"/>
      <c r="F1352" s="478"/>
      <c r="K1352" s="2659" t="str">
        <f>'Part VIII-Threshold Criteria'!K258</f>
        <v>Capital Real Estate Consultants,Brandon T. Liles</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2559</v>
      </c>
      <c r="D1353" s="478"/>
      <c r="E1353" s="478"/>
      <c r="F1353" s="478"/>
      <c r="G1353" s="478"/>
      <c r="H1353" s="478"/>
      <c r="I1353" s="2355"/>
      <c r="J1353" s="2355"/>
      <c r="M1353" s="478"/>
      <c r="N1353" s="2728"/>
      <c r="O1353" s="2703"/>
      <c r="P1353" s="2668" t="str">
        <f>'Part VIII-Threshold Criteria'!P259</f>
        <v>Yes</v>
      </c>
      <c r="Q1353" s="2668">
        <f>'Part VIII-Threshold Criteria'!Q259</f>
        <v>0</v>
      </c>
    </row>
    <row r="1354" spans="1:17">
      <c r="A1354" s="2701" t="s">
        <v>756</v>
      </c>
      <c r="B1354" s="478" t="s">
        <v>3790</v>
      </c>
      <c r="D1354" s="478"/>
      <c r="E1354" s="478"/>
      <c r="F1354" s="478"/>
      <c r="M1354" s="478"/>
      <c r="N1354" s="2728"/>
      <c r="O1354" s="2703" t="s">
        <v>756</v>
      </c>
      <c r="P1354" s="2668" t="str">
        <f>'Part VIII-Threshold Criteria'!P260</f>
        <v>Yes</v>
      </c>
      <c r="Q1354" s="2668">
        <f>'Part VIII-Threshold Criteria'!Q260</f>
        <v>0</v>
      </c>
    </row>
    <row r="1355" spans="1:17">
      <c r="A1355" s="2701"/>
      <c r="B1355" s="478" t="s">
        <v>3789</v>
      </c>
      <c r="D1355" s="478"/>
      <c r="E1355" s="478"/>
      <c r="F1355" s="478"/>
      <c r="K1355" s="2659" t="str">
        <f>'Part VIII-Threshold Criteria'!K261</f>
        <v>Edward Folskey</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2130</v>
      </c>
      <c r="B1356" s="478" t="s">
        <v>3942</v>
      </c>
      <c r="D1356" s="478"/>
      <c r="E1356" s="478"/>
      <c r="F1356" s="478"/>
      <c r="G1356" s="478"/>
      <c r="H1356" s="478"/>
      <c r="I1356" s="2355"/>
      <c r="J1356" s="2355"/>
      <c r="K1356" s="2355"/>
      <c r="M1356" s="478"/>
      <c r="N1356" s="2728"/>
      <c r="O1356" s="2703" t="s">
        <v>2130</v>
      </c>
      <c r="P1356" s="2668" t="str">
        <f>'Part VIII-Threshold Criteria'!P262</f>
        <v>Yes</v>
      </c>
      <c r="Q1356" s="2668">
        <f>'Part VIII-Threshold Criteria'!Q262</f>
        <v>0</v>
      </c>
    </row>
    <row r="1357" spans="1:17" ht="12.75" customHeight="1">
      <c r="A1357" s="2701"/>
      <c r="B1357" s="2662" t="s">
        <v>3791</v>
      </c>
      <c r="C1357" s="2662"/>
      <c r="D1357" s="2662"/>
      <c r="E1357" s="2662"/>
      <c r="F1357" s="2662"/>
      <c r="G1357" s="2662"/>
      <c r="H1357" s="1156" t="s">
        <v>4169</v>
      </c>
      <c r="K1357" s="2355"/>
      <c r="M1357" s="478"/>
      <c r="N1357" s="2728"/>
      <c r="O1357" s="2703" t="s">
        <v>1749</v>
      </c>
      <c r="P1357" s="2668" t="str">
        <f>'Part VIII-Threshold Criteria'!P263</f>
        <v>Yes</v>
      </c>
      <c r="Q1357" s="2668">
        <f>'Part VIII-Threshold Criteria'!Q263</f>
        <v>0</v>
      </c>
    </row>
    <row r="1358" spans="1:17">
      <c r="A1358" s="2701"/>
      <c r="B1358" s="2662"/>
      <c r="C1358" s="2662"/>
      <c r="D1358" s="2662"/>
      <c r="E1358" s="2662"/>
      <c r="F1358" s="2662"/>
      <c r="G1358" s="2662"/>
      <c r="H1358" s="1156" t="s">
        <v>4170</v>
      </c>
      <c r="K1358" s="2355"/>
      <c r="M1358" s="478"/>
      <c r="N1358" s="2728"/>
      <c r="O1358" s="2703" t="s">
        <v>1750</v>
      </c>
      <c r="P1358" s="2668" t="str">
        <f>'Part VIII-Threshold Criteria'!P264</f>
        <v>Yes</v>
      </c>
      <c r="Q1358" s="2668">
        <f>'Part VIII-Threshold Criteria'!Q264</f>
        <v>0</v>
      </c>
    </row>
    <row r="1359" spans="1:17">
      <c r="A1359" s="2701"/>
      <c r="B1359" s="478"/>
      <c r="D1359" s="478"/>
      <c r="E1359" s="478"/>
      <c r="F1359" s="478"/>
      <c r="G1359" s="478"/>
      <c r="H1359" s="1156" t="s">
        <v>4171</v>
      </c>
      <c r="K1359" s="2355"/>
      <c r="M1359" s="478"/>
      <c r="N1359" s="2728"/>
      <c r="O1359" s="2703" t="s">
        <v>1751</v>
      </c>
      <c r="P1359" s="2668" t="str">
        <f>'Part VIII-Threshold Criteria'!P265</f>
        <v>Yes</v>
      </c>
      <c r="Q1359" s="2668">
        <f>'Part VIII-Threshold Criteria'!Q265</f>
        <v>0</v>
      </c>
    </row>
    <row r="1360" spans="1:17">
      <c r="A1360" s="2701"/>
      <c r="B1360" s="478"/>
      <c r="D1360" s="478"/>
      <c r="E1360" s="478"/>
      <c r="F1360" s="478"/>
      <c r="G1360" s="478"/>
      <c r="H1360" s="1156" t="s">
        <v>4172</v>
      </c>
      <c r="K1360" s="2355"/>
      <c r="M1360" s="478"/>
      <c r="N1360" s="2728"/>
      <c r="O1360" s="2703" t="s">
        <v>2380</v>
      </c>
      <c r="P1360" s="2668" t="str">
        <f>'Part VIII-Threshold Criteria'!P266</f>
        <v>Yes</v>
      </c>
      <c r="Q1360" s="2668">
        <f>'Part VIII-Threshold Criteria'!Q266</f>
        <v>0</v>
      </c>
    </row>
    <row r="1361" spans="1:17" ht="12.75" customHeight="1">
      <c r="A1361" s="2699" t="s">
        <v>1747</v>
      </c>
      <c r="B1361" s="2662" t="s">
        <v>4780</v>
      </c>
      <c r="C1361" s="2662"/>
      <c r="D1361" s="2662"/>
      <c r="E1361" s="2662"/>
      <c r="F1361" s="2662"/>
      <c r="G1361" s="2662"/>
      <c r="H1361" s="2662"/>
      <c r="I1361" s="2662"/>
      <c r="J1361" s="2662"/>
      <c r="K1361" s="2662"/>
      <c r="L1361" s="2662"/>
      <c r="M1361" s="2662"/>
      <c r="N1361" s="2662"/>
      <c r="O1361" s="2713" t="s">
        <v>1747</v>
      </c>
      <c r="P1361" s="2714" t="str">
        <f>'Part VIII-Threshold Criteria'!P267</f>
        <v>Agree</v>
      </c>
      <c r="Q1361" s="2714">
        <f>'Part VIII-Threshold Criteria'!Q267</f>
        <v>0</v>
      </c>
    </row>
    <row r="1362" spans="1:17">
      <c r="B1362" s="2599" t="s">
        <v>3783</v>
      </c>
      <c r="D1362" s="2599"/>
      <c r="E1362" s="2599"/>
      <c r="F1362" s="2599"/>
      <c r="G1362" s="2599"/>
      <c r="H1362" s="2598"/>
      <c r="I1362" s="2660"/>
      <c r="J1362" s="2660"/>
      <c r="K1362" s="2660"/>
      <c r="L1362" s="2562"/>
      <c r="M1362" s="2562"/>
      <c r="N1362" s="2562"/>
      <c r="O1362" s="2562"/>
      <c r="P1362" s="2562"/>
      <c r="Q1362" s="2562"/>
    </row>
    <row r="1363" spans="1:17" ht="191.25">
      <c r="A1363" s="2662" t="str">
        <f>'Part VIII-Threshold Criteria'!A269</f>
        <v>Approximately $37,000 in rehab will be done as guided by the PNA.  All accessibility issues will be addressed and covers will be built over exposed exterior stairs.</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1879</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2266</v>
      </c>
      <c r="B1367" s="2544" t="s">
        <v>2679</v>
      </c>
      <c r="C1367" s="2544"/>
      <c r="D1367" s="2659"/>
      <c r="E1367" s="2659"/>
      <c r="F1367" s="2659"/>
      <c r="G1367" s="2659"/>
      <c r="H1367" s="2665"/>
      <c r="I1367" s="2665"/>
      <c r="J1367" s="2665"/>
      <c r="K1367" s="2665"/>
      <c r="L1367" s="2665"/>
      <c r="M1367" s="2665"/>
      <c r="O1367" s="2661" t="s">
        <v>1880</v>
      </c>
      <c r="P1367" s="2570">
        <f>'Part VIII-Threshold Criteria'!P273</f>
        <v>0</v>
      </c>
      <c r="Q1367" s="2570">
        <f>'Part VIII-Threshold Criteria'!Q273</f>
        <v>0</v>
      </c>
    </row>
    <row r="1369" spans="1:17" ht="12.75" customHeight="1">
      <c r="A1369" s="2699" t="s">
        <v>1998</v>
      </c>
      <c r="B1369" s="2662" t="s">
        <v>3944</v>
      </c>
      <c r="C1369" s="2662"/>
      <c r="D1369" s="2662"/>
      <c r="E1369" s="2662"/>
      <c r="F1369" s="2662"/>
      <c r="G1369" s="2662"/>
      <c r="H1369" s="2662"/>
      <c r="I1369" s="2662"/>
      <c r="J1369" s="2662"/>
      <c r="K1369" s="2662"/>
      <c r="L1369" s="2662"/>
      <c r="M1369" s="2662"/>
      <c r="N1369" s="2662"/>
      <c r="O1369" s="2713" t="s">
        <v>1998</v>
      </c>
      <c r="P1369" s="2714" t="str">
        <f>'Part VIII-Threshold Criteria'!P275</f>
        <v>Yes</v>
      </c>
      <c r="Q1369" s="2714">
        <f>'Part VIII-Threshold Criteria'!Q275</f>
        <v>0</v>
      </c>
    </row>
    <row r="1370" spans="1:17">
      <c r="A1370" s="2701"/>
      <c r="B1370" s="478" t="s">
        <v>3786</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2000</v>
      </c>
      <c r="B1371" s="478" t="s">
        <v>3787</v>
      </c>
      <c r="D1371" s="478"/>
      <c r="E1371" s="478"/>
      <c r="F1371" s="478"/>
      <c r="G1371" s="478"/>
      <c r="H1371" s="478"/>
      <c r="I1371" s="478"/>
      <c r="J1371" s="478"/>
      <c r="K1371" s="478"/>
      <c r="L1371" s="478"/>
      <c r="M1371" s="478"/>
      <c r="O1371" s="2703" t="s">
        <v>2000</v>
      </c>
      <c r="P1371" s="2668" t="str">
        <f>'Part VIII-Threshold Criteria'!P277</f>
        <v>Yes</v>
      </c>
      <c r="Q1371" s="2668">
        <f>'Part VIII-Threshold Criteria'!Q277</f>
        <v>0</v>
      </c>
    </row>
    <row r="1372" spans="1:17">
      <c r="A1372" s="2701" t="s">
        <v>756</v>
      </c>
      <c r="B1372" s="478" t="s">
        <v>4173</v>
      </c>
      <c r="D1372" s="478"/>
      <c r="E1372" s="478"/>
      <c r="F1372" s="478"/>
      <c r="G1372" s="478"/>
      <c r="H1372" s="478"/>
      <c r="I1372" s="478"/>
      <c r="J1372" s="478"/>
      <c r="K1372" s="478"/>
      <c r="L1372" s="478"/>
      <c r="M1372" s="478"/>
      <c r="O1372" s="2703" t="s">
        <v>756</v>
      </c>
      <c r="P1372" s="2668" t="str">
        <f>'Part VIII-Threshold Criteria'!P278</f>
        <v>Yes</v>
      </c>
      <c r="Q1372" s="2668">
        <f>'Part VIII-Threshold Criteria'!Q278</f>
        <v>0</v>
      </c>
    </row>
    <row r="1373" spans="1:17">
      <c r="A1373" s="2701"/>
      <c r="B1373" s="478" t="s">
        <v>3788</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2130</v>
      </c>
      <c r="B1374" s="478" t="s">
        <v>4174</v>
      </c>
      <c r="D1374" s="478"/>
      <c r="E1374" s="478"/>
      <c r="F1374" s="478"/>
      <c r="G1374" s="478"/>
      <c r="H1374" s="478"/>
      <c r="I1374" s="478"/>
      <c r="J1374" s="478"/>
      <c r="K1374" s="478"/>
      <c r="L1374" s="478"/>
      <c r="M1374" s="478"/>
      <c r="O1374" s="2703" t="s">
        <v>2130</v>
      </c>
      <c r="P1374" s="2668" t="str">
        <f>'Part VIII-Threshold Criteria'!P280</f>
        <v>Yes</v>
      </c>
      <c r="Q1374" s="2668">
        <f>'Part VIII-Threshold Criteria'!Q280</f>
        <v>0</v>
      </c>
    </row>
    <row r="1375" spans="1:17">
      <c r="B1375" s="2599" t="s">
        <v>3783</v>
      </c>
      <c r="D1375" s="2599"/>
      <c r="E1375" s="2599"/>
      <c r="F1375" s="2599"/>
      <c r="G1375" s="2599"/>
      <c r="H1375" s="2598"/>
      <c r="I1375" s="2660"/>
      <c r="J1375" s="2660"/>
      <c r="K1375" s="2660"/>
      <c r="L1375" s="2562"/>
      <c r="M1375" s="2562"/>
      <c r="N1375" s="2562"/>
      <c r="O1375" s="2562"/>
      <c r="P1375" s="2562"/>
      <c r="Q1375" s="2562"/>
    </row>
    <row r="1376" spans="1:17" ht="213.75">
      <c r="A1376" s="2662" t="str">
        <f>'Part VIII-Threshold Criteria'!A282</f>
        <v>The  site development plan was prepared in accordance with all instructions and all site amenities are shown.  Aerial Photes were made in May, 2018 and site photos were taken March-May, 2018</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1879</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4155</v>
      </c>
      <c r="B1379" s="2545" t="s">
        <v>2680</v>
      </c>
      <c r="C1379" s="2545"/>
      <c r="D1379" s="2665"/>
      <c r="E1379" s="2665"/>
      <c r="F1379" s="2665"/>
      <c r="G1379" s="2665"/>
      <c r="H1379" s="2665"/>
      <c r="I1379" s="2665"/>
      <c r="J1379" s="2665"/>
      <c r="K1379" s="2665"/>
      <c r="L1379" s="2665"/>
      <c r="M1379" s="2665"/>
      <c r="O1379" s="2661" t="s">
        <v>1880</v>
      </c>
      <c r="P1379" s="2570">
        <f>'Part VIII-Threshold Criteria'!P285</f>
        <v>0</v>
      </c>
      <c r="Q1379" s="2570">
        <f>'Part VIII-Threshold Criteria'!Q285</f>
        <v>0</v>
      </c>
    </row>
    <row r="1381" spans="1:17" ht="12.75" customHeight="1">
      <c r="A1381" s="2699" t="s">
        <v>1998</v>
      </c>
      <c r="B1381" s="2662" t="s">
        <v>2830</v>
      </c>
      <c r="C1381" s="2662"/>
      <c r="D1381" s="2662"/>
      <c r="E1381" s="2662"/>
      <c r="F1381" s="2662"/>
      <c r="G1381" s="2662"/>
      <c r="H1381" s="2662"/>
      <c r="I1381" s="2662"/>
      <c r="J1381" s="2662"/>
      <c r="K1381" s="2662"/>
      <c r="L1381" s="2662"/>
      <c r="M1381" s="2662"/>
      <c r="N1381" s="2662"/>
      <c r="O1381" s="2713" t="s">
        <v>1998</v>
      </c>
      <c r="P1381" s="2714" t="str">
        <f>'Part VIII-Threshold Criteria'!P287</f>
        <v>Agree</v>
      </c>
      <c r="Q1381" s="2714">
        <f>'Part VIII-Threshold Criteria'!Q287</f>
        <v>0</v>
      </c>
    </row>
    <row r="1382" spans="1:17" ht="12.75" customHeight="1">
      <c r="A1382" s="2699" t="s">
        <v>2000</v>
      </c>
      <c r="B1382" s="2662" t="s">
        <v>2831</v>
      </c>
      <c r="C1382" s="2662"/>
      <c r="D1382" s="2662"/>
      <c r="E1382" s="2662"/>
      <c r="F1382" s="2662"/>
      <c r="G1382" s="2662"/>
      <c r="H1382" s="2662"/>
      <c r="I1382" s="2662"/>
      <c r="J1382" s="2662"/>
      <c r="K1382" s="2662"/>
      <c r="L1382" s="2662"/>
      <c r="M1382" s="2662"/>
      <c r="N1382" s="2662"/>
      <c r="O1382" s="2713" t="s">
        <v>2000</v>
      </c>
      <c r="P1382" s="2714" t="str">
        <f>'Part VIII-Threshold Criteria'!P288</f>
        <v>Agree</v>
      </c>
      <c r="Q1382" s="2714">
        <f>'Part VIII-Threshold Criteria'!Q288</f>
        <v>0</v>
      </c>
    </row>
    <row r="1383" spans="1:17">
      <c r="B1383" s="2599" t="s">
        <v>3783</v>
      </c>
      <c r="D1383" s="2599"/>
      <c r="E1383" s="2599"/>
      <c r="F1383" s="2599"/>
      <c r="G1383" s="2599"/>
      <c r="H1383" s="2598"/>
      <c r="I1383" s="2660"/>
      <c r="J1383" s="2660"/>
      <c r="K1383" s="2660"/>
      <c r="L1383" s="2562"/>
      <c r="M1383" s="2562"/>
      <c r="N1383" s="2562"/>
      <c r="O1383" s="2562"/>
      <c r="P1383" s="2562"/>
      <c r="Q1383" s="2562"/>
    </row>
    <row r="1384" spans="1:17" ht="135">
      <c r="A1384" s="2662" t="str">
        <f>'Part VIII-Threshold Criteria'!A290</f>
        <v xml:space="preserve">The buildings/equipment will achieve a minimum standard for energy efficiency and sustainable building practices.   </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1879</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4156</v>
      </c>
      <c r="B1387" s="2545" t="s">
        <v>2681</v>
      </c>
      <c r="C1387" s="2729"/>
      <c r="D1387" s="2730"/>
      <c r="E1387" s="2665"/>
      <c r="F1387" s="2665"/>
      <c r="G1387" s="2665"/>
      <c r="H1387" s="2665"/>
      <c r="I1387" s="2665"/>
      <c r="J1387" s="2665"/>
      <c r="K1387" s="2665"/>
      <c r="L1387" s="2665"/>
      <c r="M1387" s="2665"/>
      <c r="O1387" s="2661" t="s">
        <v>1880</v>
      </c>
      <c r="P1387" s="2570">
        <f>'Part VIII-Threshold Criteria'!P293</f>
        <v>0</v>
      </c>
      <c r="Q1387" s="2570">
        <f>'Part VIII-Threshold Criteria'!Q293</f>
        <v>0</v>
      </c>
    </row>
    <row r="1388" spans="1:17">
      <c r="A1388" s="2586" t="s">
        <v>1998</v>
      </c>
      <c r="B1388" s="2545" t="s">
        <v>4781</v>
      </c>
    </row>
    <row r="1389" spans="1:17" ht="12.75" customHeight="1">
      <c r="A1389" s="2699"/>
      <c r="B1389" s="2713" t="s">
        <v>1749</v>
      </c>
      <c r="C1389" s="2662" t="s">
        <v>3946</v>
      </c>
      <c r="D1389" s="2662"/>
      <c r="E1389" s="2662"/>
      <c r="F1389" s="2662"/>
      <c r="G1389" s="2662"/>
      <c r="H1389" s="2662"/>
      <c r="I1389" s="2662"/>
      <c r="J1389" s="2662"/>
      <c r="K1389" s="2662"/>
      <c r="L1389" s="2662"/>
      <c r="M1389" s="2662"/>
      <c r="N1389" s="2662"/>
      <c r="O1389" s="2713" t="s">
        <v>2743</v>
      </c>
      <c r="P1389" s="2714" t="str">
        <f>'Part VIII-Threshold Criteria'!P295</f>
        <v>Yes</v>
      </c>
      <c r="Q1389" s="2714">
        <f>'Part VIII-Threshold Criteria'!Q295</f>
        <v>0</v>
      </c>
    </row>
    <row r="1390" spans="1:17" ht="12.75" customHeight="1">
      <c r="A1390" s="2699"/>
      <c r="B1390" s="2713" t="s">
        <v>1750</v>
      </c>
      <c r="C1390" s="2662" t="s">
        <v>3947</v>
      </c>
      <c r="D1390" s="2662"/>
      <c r="E1390" s="2662"/>
      <c r="F1390" s="2662"/>
      <c r="G1390" s="2662"/>
      <c r="H1390" s="2662"/>
      <c r="I1390" s="2662"/>
      <c r="J1390" s="2662"/>
      <c r="K1390" s="2662"/>
      <c r="L1390" s="2662"/>
      <c r="M1390" s="2662"/>
      <c r="N1390" s="2662"/>
      <c r="O1390" s="2713" t="s">
        <v>1750</v>
      </c>
      <c r="P1390" s="2714" t="str">
        <f>'Part VIII-Threshold Criteria'!P296</f>
        <v>Yes</v>
      </c>
      <c r="Q1390" s="2714">
        <f>'Part VIII-Threshold Criteria'!Q296</f>
        <v>0</v>
      </c>
    </row>
    <row r="1391" spans="1:17" ht="12.75" customHeight="1">
      <c r="A1391" s="2699"/>
      <c r="B1391" s="2713" t="s">
        <v>1751</v>
      </c>
      <c r="C1391" s="2662" t="s">
        <v>3945</v>
      </c>
      <c r="D1391" s="2662"/>
      <c r="E1391" s="2662"/>
      <c r="F1391" s="2662"/>
      <c r="G1391" s="2662"/>
      <c r="H1391" s="2662"/>
      <c r="I1391" s="2662"/>
      <c r="J1391" s="2662"/>
      <c r="K1391" s="2662"/>
      <c r="L1391" s="2662"/>
      <c r="M1391" s="2662"/>
      <c r="N1391" s="2662"/>
      <c r="O1391" s="2713" t="s">
        <v>1751</v>
      </c>
      <c r="P1391" s="2714">
        <f>'Part VIII-Threshold Criteria'!P297</f>
        <v>0</v>
      </c>
      <c r="Q1391" s="2714">
        <f>'Part VIII-Threshold Criteria'!Q297</f>
        <v>0</v>
      </c>
    </row>
    <row r="1392" spans="1:17">
      <c r="A1392" s="2586" t="s">
        <v>2000</v>
      </c>
      <c r="B1392" s="2545" t="s">
        <v>3911</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1749</v>
      </c>
      <c r="C1393" s="2662" t="s">
        <v>4782</v>
      </c>
      <c r="D1393" s="2662"/>
      <c r="E1393" s="2662"/>
      <c r="F1393" s="2662"/>
      <c r="G1393" s="2662"/>
      <c r="H1393" s="2662"/>
      <c r="I1393" s="2687"/>
      <c r="J1393" s="2670" t="s">
        <v>3825</v>
      </c>
      <c r="K1393" s="2725"/>
      <c r="L1393" s="2725"/>
      <c r="M1393" s="2732" t="s">
        <v>3793</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3794</v>
      </c>
      <c r="N1394" s="2660" t="s">
        <v>3824</v>
      </c>
      <c r="O1394" s="2351"/>
      <c r="P1394" s="2373"/>
      <c r="Q1394" s="2351"/>
    </row>
    <row r="1395" spans="1:17">
      <c r="A1395" s="2354"/>
      <c r="B1395" s="2351"/>
      <c r="C1395" s="2662"/>
      <c r="D1395" s="2662"/>
      <c r="E1395" s="2662"/>
      <c r="F1395" s="2662"/>
      <c r="G1395" s="2662"/>
      <c r="H1395" s="2662"/>
      <c r="I1395" s="478" t="s">
        <v>4176</v>
      </c>
      <c r="J1395" s="2351"/>
      <c r="K1395" s="2733">
        <f>'Part VIII-Threshold Criteria'!K301</f>
        <v>3</v>
      </c>
      <c r="L1395" s="2352" t="str">
        <f>IF(K1395&lt;M1395,"Check!!!","")</f>
        <v/>
      </c>
      <c r="M1395" s="2734">
        <f>'Part VIII-Threshold Criteria'!M301</f>
        <v>3</v>
      </c>
      <c r="N1395" s="2735">
        <f>'DCA Underwriting Assumptions'!$Q$136</f>
        <v>0.05</v>
      </c>
      <c r="O1395" s="2703" t="s">
        <v>3665</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4783</v>
      </c>
      <c r="D1397" s="2662"/>
      <c r="E1397" s="2662"/>
      <c r="F1397" s="2662"/>
      <c r="G1397" s="2662"/>
      <c r="H1397" s="2662"/>
      <c r="I1397" s="2736" t="s">
        <v>4177</v>
      </c>
      <c r="J1397" s="2351"/>
      <c r="K1397" s="2733">
        <f>'Part VIII-Threshold Criteria'!K303</f>
        <v>2</v>
      </c>
      <c r="L1397" s="2352" t="str">
        <f>IF(K1397&lt;M1397,"Check!!!","")</f>
        <v/>
      </c>
      <c r="M1397" s="2734">
        <f>'Part VIII-Threshold Criteria'!M303</f>
        <v>2</v>
      </c>
      <c r="N1397" s="2735">
        <f>'DCA Underwriting Assumptions'!$Q$137</f>
        <v>0.4</v>
      </c>
      <c r="O1397" s="2703" t="s">
        <v>2132</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1750</v>
      </c>
      <c r="C1399" s="2662" t="s">
        <v>4784</v>
      </c>
      <c r="D1399" s="2662"/>
      <c r="E1399" s="2662"/>
      <c r="F1399" s="2662"/>
      <c r="G1399" s="2662"/>
      <c r="H1399" s="2662"/>
      <c r="I1399" s="478" t="s">
        <v>4178</v>
      </c>
      <c r="J1399" s="2351"/>
      <c r="K1399" s="2733">
        <f>'Part VIII-Threshold Criteria'!K305</f>
        <v>1</v>
      </c>
      <c r="L1399" s="2352" t="str">
        <f>IF(K1399&lt;M1399,"Check!!!","")</f>
        <v/>
      </c>
      <c r="M1399" s="2734">
        <f>'Part VIII-Threshold Criteria'!M305</f>
        <v>1</v>
      </c>
      <c r="N1399" s="2735">
        <f>'DCA Underwriting Assumptions'!$Q$138</f>
        <v>0.02</v>
      </c>
      <c r="O1399" s="2703" t="s">
        <v>1750</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756</v>
      </c>
      <c r="B1402" s="2545" t="s">
        <v>3912</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3667</v>
      </c>
      <c r="C1403" s="2662"/>
      <c r="D1403" s="2662"/>
      <c r="E1403" s="2662"/>
      <c r="F1403" s="2662"/>
      <c r="G1403" s="2662"/>
      <c r="H1403" s="2662"/>
      <c r="I1403" s="2662"/>
      <c r="J1403" s="2662"/>
      <c r="K1403" s="2662"/>
      <c r="L1403" s="2662"/>
      <c r="M1403" s="2662"/>
      <c r="N1403" s="2662"/>
      <c r="O1403" s="2713" t="s">
        <v>756</v>
      </c>
      <c r="P1403" s="2714" t="str">
        <f>'Part VIII-Threshold Criteria'!P309</f>
        <v>Yes</v>
      </c>
      <c r="Q1403" s="2714">
        <f>'Part VIII-Threshold Criteria'!Q309</f>
        <v>0</v>
      </c>
    </row>
    <row r="1404" spans="1:17">
      <c r="A1404" s="2355"/>
      <c r="B1404" s="2687" t="s">
        <v>3668</v>
      </c>
      <c r="C1404" s="2355"/>
      <c r="D1404" s="2687"/>
      <c r="E1404" s="2687"/>
      <c r="F1404" s="2687"/>
      <c r="G1404" s="2687"/>
      <c r="H1404" s="2687"/>
      <c r="I1404" s="2687" t="s">
        <v>3792</v>
      </c>
      <c r="J1404" s="2687"/>
      <c r="K1404" s="2687"/>
      <c r="L1404" s="2687" t="str">
        <f>'Part VIII-Threshold Criteria'!L310</f>
        <v>Terracon</v>
      </c>
      <c r="M1404" s="2687">
        <f>'Part VIII-Threshold Criteria'!M310</f>
        <v>0</v>
      </c>
      <c r="N1404" s="2687">
        <f>'Part VIII-Threshold Criteria'!N310</f>
        <v>0</v>
      </c>
      <c r="O1404" s="2687"/>
      <c r="P1404" s="2687"/>
      <c r="Q1404" s="2687"/>
    </row>
    <row r="1405" spans="1:17" ht="12.75" customHeight="1">
      <c r="A1405" s="2679"/>
      <c r="B1405" s="2713" t="s">
        <v>1749</v>
      </c>
      <c r="C1405" s="2662" t="s">
        <v>3666</v>
      </c>
      <c r="D1405" s="2662"/>
      <c r="E1405" s="2662"/>
      <c r="F1405" s="2662"/>
      <c r="G1405" s="2662"/>
      <c r="H1405" s="2662"/>
      <c r="I1405" s="2662"/>
      <c r="J1405" s="2662"/>
      <c r="K1405" s="2662"/>
      <c r="L1405" s="2662"/>
      <c r="M1405" s="2662"/>
      <c r="N1405" s="2662"/>
      <c r="O1405" s="2713" t="s">
        <v>3671</v>
      </c>
      <c r="P1405" s="2714" t="str">
        <f>'Part VIII-Threshold Criteria'!P311</f>
        <v>Yes</v>
      </c>
      <c r="Q1405" s="2714">
        <f>'Part VIII-Threshold Criteria'!Q311</f>
        <v>0</v>
      </c>
    </row>
    <row r="1406" spans="1:17" ht="12.75" customHeight="1">
      <c r="A1406" s="2679"/>
      <c r="B1406" s="2713" t="s">
        <v>1750</v>
      </c>
      <c r="C1406" s="2662" t="s">
        <v>3711</v>
      </c>
      <c r="D1406" s="2662"/>
      <c r="E1406" s="2662"/>
      <c r="F1406" s="2662"/>
      <c r="G1406" s="2662"/>
      <c r="H1406" s="2662"/>
      <c r="I1406" s="2662"/>
      <c r="J1406" s="2662"/>
      <c r="K1406" s="2662"/>
      <c r="L1406" s="2662"/>
      <c r="M1406" s="2662"/>
      <c r="N1406" s="2662"/>
      <c r="O1406" s="2713" t="s">
        <v>3672</v>
      </c>
      <c r="P1406" s="2714" t="str">
        <f>'Part VIII-Threshold Criteria'!P312</f>
        <v>Yes</v>
      </c>
      <c r="Q1406" s="2714">
        <f>'Part VIII-Threshold Criteria'!Q312</f>
        <v>0</v>
      </c>
    </row>
    <row r="1407" spans="1:17" ht="12.75" customHeight="1">
      <c r="A1407" s="2679"/>
      <c r="B1407" s="2713" t="s">
        <v>1751</v>
      </c>
      <c r="C1407" s="2662" t="s">
        <v>3669</v>
      </c>
      <c r="D1407" s="2662"/>
      <c r="E1407" s="2662"/>
      <c r="F1407" s="2662"/>
      <c r="G1407" s="2662"/>
      <c r="H1407" s="2662"/>
      <c r="I1407" s="2662"/>
      <c r="J1407" s="2662"/>
      <c r="K1407" s="2662"/>
      <c r="L1407" s="2662"/>
      <c r="M1407" s="2662"/>
      <c r="N1407" s="2662"/>
      <c r="O1407" s="2713" t="s">
        <v>3673</v>
      </c>
      <c r="P1407" s="2714" t="str">
        <f>'Part VIII-Threshold Criteria'!P313</f>
        <v>Yes</v>
      </c>
      <c r="Q1407" s="2714">
        <f>'Part VIII-Threshold Criteria'!Q313</f>
        <v>0</v>
      </c>
    </row>
    <row r="1408" spans="1:17" ht="12.75" customHeight="1">
      <c r="A1408" s="2679"/>
      <c r="B1408" s="2713" t="s">
        <v>2380</v>
      </c>
      <c r="C1408" s="2662" t="s">
        <v>3670</v>
      </c>
      <c r="D1408" s="2662"/>
      <c r="E1408" s="2662"/>
      <c r="F1408" s="2662"/>
      <c r="G1408" s="2662"/>
      <c r="H1408" s="2662"/>
      <c r="I1408" s="2662"/>
      <c r="J1408" s="2662"/>
      <c r="K1408" s="2662"/>
      <c r="L1408" s="2662"/>
      <c r="M1408" s="2662"/>
      <c r="N1408" s="2662"/>
      <c r="O1408" s="2713" t="s">
        <v>3674</v>
      </c>
      <c r="P1408" s="2714" t="str">
        <f>'Part VIII-Threshold Criteria'!P314</f>
        <v>Yes</v>
      </c>
      <c r="Q1408" s="2714">
        <f>'Part VIII-Threshold Criteria'!Q314</f>
        <v>0</v>
      </c>
    </row>
    <row r="1409" spans="1:17">
      <c r="B1409" s="2599" t="s">
        <v>3783</v>
      </c>
      <c r="D1409" s="2599"/>
      <c r="E1409" s="2599"/>
      <c r="F1409" s="2599"/>
      <c r="G1409" s="2599"/>
      <c r="H1409" s="2598"/>
      <c r="I1409" s="2660"/>
      <c r="J1409" s="2660"/>
      <c r="K1409" s="2660"/>
      <c r="L1409" s="2562"/>
      <c r="M1409" s="2562"/>
      <c r="N1409" s="2562"/>
      <c r="O1409" s="2562"/>
      <c r="P1409" s="2562"/>
      <c r="Q1409" s="2562"/>
    </row>
    <row r="1410" spans="1:17" ht="168.75">
      <c r="A1410" s="2662" t="str">
        <f>'Part VIII-Threshold Criteria'!A316</f>
        <v>Applicant will use a DCA approved accessibility expert to perform the above steps and will design the units to comply with all items above that apply.</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1879</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4154</v>
      </c>
      <c r="B1413" s="2544" t="s">
        <v>2682</v>
      </c>
      <c r="C1413" s="2544"/>
      <c r="D1413" s="2544"/>
      <c r="E1413" s="2544"/>
      <c r="F1413" s="2544"/>
      <c r="G1413" s="2544"/>
      <c r="H1413" s="2665"/>
      <c r="I1413" s="2665"/>
      <c r="J1413" s="2665"/>
      <c r="K1413" s="2665"/>
      <c r="L1413" s="2665"/>
      <c r="M1413" s="2665"/>
      <c r="O1413" s="2661" t="s">
        <v>1880</v>
      </c>
      <c r="P1413" s="2570">
        <f>'Part VIII-Threshold Criteria'!P319</f>
        <v>0</v>
      </c>
      <c r="Q1413" s="2570">
        <f>'Part VIII-Threshold Criteria'!Q319</f>
        <v>0</v>
      </c>
    </row>
    <row r="1414" spans="1:17">
      <c r="B1414" s="1156" t="s">
        <v>2267</v>
      </c>
      <c r="P1414" s="2668" t="str">
        <f>'Part VIII-Threshold Criteria'!P320</f>
        <v>Yes</v>
      </c>
      <c r="Q1414" s="2668">
        <f>'Part VIII-Threshold Criteria'!Q320</f>
        <v>0</v>
      </c>
    </row>
    <row r="1415" spans="1:17">
      <c r="B1415" s="2722" t="s">
        <v>2226</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1998</v>
      </c>
      <c r="B1416" s="2695" t="s">
        <v>4785</v>
      </c>
      <c r="D1416" s="2598"/>
      <c r="E1416" s="2598"/>
      <c r="F1416" s="2598"/>
      <c r="G1416" s="2598"/>
      <c r="H1416" s="2598"/>
      <c r="I1416" s="2598"/>
      <c r="J1416" s="2598"/>
      <c r="K1416" s="2598"/>
      <c r="L1416" s="2598"/>
      <c r="M1416" s="2598"/>
      <c r="N1416" s="2713"/>
    </row>
    <row r="1417" spans="1:17" ht="12.75" customHeight="1">
      <c r="B1417" s="2662" t="s">
        <v>2899</v>
      </c>
      <c r="C1417" s="2662"/>
      <c r="D1417" s="2662"/>
      <c r="E1417" s="2662"/>
      <c r="F1417" s="2662"/>
      <c r="G1417" s="2662"/>
      <c r="H1417" s="2662"/>
      <c r="I1417" s="2662"/>
      <c r="J1417" s="2662"/>
      <c r="K1417" s="2662"/>
      <c r="L1417" s="2662"/>
      <c r="M1417" s="2662"/>
      <c r="N1417" s="2662"/>
      <c r="O1417" s="2713" t="s">
        <v>1998</v>
      </c>
      <c r="P1417" s="2714" t="str">
        <f>'Part VIII-Threshold Criteria'!P323</f>
        <v>Yes</v>
      </c>
      <c r="Q1417" s="2714">
        <f>'Part VIII-Threshold Criteria'!Q323</f>
        <v>0</v>
      </c>
    </row>
    <row r="1418" spans="1:17">
      <c r="A1418" s="2699" t="s">
        <v>2000</v>
      </c>
      <c r="B1418" s="2659" t="s">
        <v>464</v>
      </c>
      <c r="D1418" s="2659"/>
      <c r="E1418" s="2659"/>
      <c r="F1418" s="2659"/>
      <c r="G1418" s="2659"/>
      <c r="H1418" s="2659"/>
      <c r="I1418" s="2659"/>
      <c r="J1418" s="2659"/>
      <c r="K1418" s="2659"/>
      <c r="L1418" s="2659"/>
      <c r="M1418" s="2659"/>
      <c r="O1418" s="2713" t="s">
        <v>2000</v>
      </c>
      <c r="P1418" s="2562"/>
      <c r="Q1418" s="2562"/>
    </row>
    <row r="1419" spans="1:17" ht="12.75" customHeight="1">
      <c r="B1419" s="2717" t="s">
        <v>1749</v>
      </c>
      <c r="C1419" s="2687" t="s">
        <v>1140</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1749</v>
      </c>
      <c r="P1419" s="2714" t="str">
        <f>'Part VIII-Threshold Criteria'!P325</f>
        <v>Yes</v>
      </c>
      <c r="Q1419" s="2714">
        <f>'Part VIII-Threshold Criteria'!Q325</f>
        <v>0</v>
      </c>
    </row>
    <row r="1420" spans="1:17" ht="12.75" customHeight="1">
      <c r="B1420" s="2717" t="s">
        <v>1750</v>
      </c>
      <c r="C1420" s="2662" t="s">
        <v>1141</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1750</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756</v>
      </c>
      <c r="B1422" s="2737" t="s">
        <v>4786</v>
      </c>
      <c r="C1422" s="2737"/>
      <c r="D1422" s="2737"/>
      <c r="E1422" s="2737"/>
      <c r="F1422" s="2737"/>
      <c r="G1422" s="2737"/>
      <c r="H1422" s="2737"/>
      <c r="I1422" s="2737"/>
      <c r="J1422" s="2737"/>
      <c r="K1422" s="2737"/>
      <c r="L1422" s="2737"/>
      <c r="M1422" s="2737"/>
      <c r="N1422" s="2737"/>
      <c r="O1422" s="2723" t="s">
        <v>756</v>
      </c>
      <c r="P1422" s="2562"/>
      <c r="Q1422" s="2562"/>
    </row>
    <row r="1423" spans="1:17">
      <c r="A1423" s="2702"/>
      <c r="B1423" s="2717" t="s">
        <v>1749</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1749</v>
      </c>
      <c r="P1423" s="2714" t="str">
        <f>'Part VIII-Threshold Criteria'!P329</f>
        <v>No</v>
      </c>
      <c r="Q1423" s="2714">
        <f>'Part VIII-Threshold Criteria'!Q329</f>
        <v>0</v>
      </c>
    </row>
    <row r="1424" spans="1:17">
      <c r="A1424" s="2702"/>
      <c r="B1424" s="2717" t="s">
        <v>1750</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1750</v>
      </c>
      <c r="P1424" s="2714" t="str">
        <f>'Part VIII-Threshold Criteria'!P330</f>
        <v>No</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3783</v>
      </c>
      <c r="D1426" s="2599"/>
      <c r="E1426" s="2599"/>
      <c r="F1426" s="2599"/>
      <c r="G1426" s="2599"/>
      <c r="H1426" s="2598"/>
      <c r="I1426" s="2660"/>
      <c r="J1426" s="2660"/>
      <c r="K1426" s="2660"/>
      <c r="L1426" s="2562"/>
      <c r="M1426" s="2562"/>
      <c r="N1426" s="2562"/>
      <c r="O1426" s="2562"/>
      <c r="P1426" s="2562"/>
      <c r="Q1426" s="2562"/>
    </row>
    <row r="1427" spans="1:17" ht="213.75">
      <c r="A1427" s="2662" t="str">
        <f>'Part VIII-Threshold Criteria'!A333</f>
        <v>The project is a rehab and there are minor waivers with covers to be placed over exposed exterior stairs.  A community room will be added to community office/laundry and computer center.</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1879</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4157</v>
      </c>
      <c r="B1430" s="2545" t="s">
        <v>4196</v>
      </c>
      <c r="C1430" s="2545"/>
      <c r="D1430" s="2665"/>
      <c r="E1430" s="2665"/>
      <c r="F1430" s="2665"/>
      <c r="G1430" s="2665"/>
      <c r="H1430" s="2665"/>
      <c r="O1430" s="2661" t="s">
        <v>1880</v>
      </c>
      <c r="P1430" s="2570">
        <f>'Part VIII-Threshold Criteria'!P336</f>
        <v>0</v>
      </c>
      <c r="Q1430" s="2570">
        <f>'Part VIII-Threshold Criteria'!Q336</f>
        <v>0</v>
      </c>
    </row>
    <row r="1431" spans="1:17">
      <c r="A1431" s="2701" t="s">
        <v>1998</v>
      </c>
      <c r="B1431" s="1156" t="s">
        <v>3951</v>
      </c>
      <c r="O1431" s="2713" t="s">
        <v>1998</v>
      </c>
      <c r="P1431" s="2668" t="str">
        <f>'Part VIII-Threshold Criteria'!P337</f>
        <v>Yes</v>
      </c>
      <c r="Q1431" s="2668">
        <f>'Part VIII-Threshold Criteria'!Q337</f>
        <v>0</v>
      </c>
    </row>
    <row r="1432" spans="1:17">
      <c r="A1432" s="2699" t="s">
        <v>2000</v>
      </c>
      <c r="B1432" s="1156" t="s">
        <v>4141</v>
      </c>
      <c r="O1432" s="2713" t="s">
        <v>2000</v>
      </c>
      <c r="P1432" s="2668" t="str">
        <f>'Part VIII-Threshold Criteria'!P338</f>
        <v>Yes</v>
      </c>
      <c r="Q1432" s="2668">
        <f>'Part VIII-Threshold Criteria'!Q338</f>
        <v>0</v>
      </c>
    </row>
    <row r="1433" spans="1:17">
      <c r="A1433" s="2699" t="s">
        <v>756</v>
      </c>
      <c r="B1433" s="1156" t="s">
        <v>2365</v>
      </c>
      <c r="O1433" s="2713" t="s">
        <v>756</v>
      </c>
      <c r="P1433" s="2668" t="str">
        <f>'Part VIII-Threshold Criteria'!P339</f>
        <v>No</v>
      </c>
      <c r="Q1433" s="2668">
        <f>'Part VIII-Threshold Criteria'!Q339</f>
        <v>0</v>
      </c>
    </row>
    <row r="1434" spans="1:17">
      <c r="A1434" s="2701" t="s">
        <v>2130</v>
      </c>
      <c r="B1434" s="1156" t="s">
        <v>3874</v>
      </c>
      <c r="O1434" s="2703" t="s">
        <v>2130</v>
      </c>
      <c r="P1434" s="2668" t="str">
        <f>'Part VIII-Threshold Criteria'!P340</f>
        <v>No</v>
      </c>
      <c r="Q1434" s="2668">
        <f>'Part VIII-Threshold Criteria'!Q340</f>
        <v>0</v>
      </c>
    </row>
    <row r="1435" spans="1:17">
      <c r="A1435" s="2699" t="s">
        <v>1747</v>
      </c>
      <c r="B1435" s="1156" t="s">
        <v>2902</v>
      </c>
      <c r="N1435" s="2713" t="s">
        <v>1747</v>
      </c>
      <c r="O1435" s="2368" t="str">
        <f>'Part VIII-Threshold Criteria'!O341</f>
        <v>Certifying GP/Developer</v>
      </c>
      <c r="P1435" s="2368">
        <f>'Part VIII-Threshold Criteria'!P341</f>
        <v>0</v>
      </c>
      <c r="Q1435" s="2368">
        <f>'Part VIII-Threshold Criteria'!Q341</f>
        <v>0</v>
      </c>
    </row>
    <row r="1436" spans="1:17">
      <c r="A1436" s="2699" t="s">
        <v>1748</v>
      </c>
      <c r="B1436" s="2719" t="s">
        <v>2366</v>
      </c>
      <c r="N1436" s="2713" t="s">
        <v>1748</v>
      </c>
      <c r="O1436" s="2368" t="str">
        <f>'Part VIII-Threshold Criteria'!O342</f>
        <v>&lt;&lt; Select Designation &gt;&gt;</v>
      </c>
      <c r="P1436" s="2368">
        <f>'Part VIII-Threshold Criteria'!P342</f>
        <v>0</v>
      </c>
      <c r="Q1436" s="2368">
        <f>'Part VIII-Threshold Criteria'!Q342</f>
        <v>0</v>
      </c>
    </row>
    <row r="1437" spans="1:17">
      <c r="B1437" s="2599" t="s">
        <v>3783</v>
      </c>
      <c r="D1437" s="2599"/>
      <c r="E1437" s="2599"/>
      <c r="F1437" s="2599"/>
      <c r="G1437" s="2599"/>
      <c r="H1437" s="2598"/>
      <c r="I1437" s="2660"/>
      <c r="J1437" s="2660"/>
      <c r="K1437" s="2660"/>
      <c r="L1437" s="2562"/>
      <c r="M1437" s="2562"/>
      <c r="N1437" s="2562"/>
      <c r="O1437" s="2562"/>
      <c r="P1437" s="2562"/>
      <c r="Q1437" s="2562"/>
    </row>
    <row r="1438" spans="1:17" ht="78.75">
      <c r="A1438" s="2662" t="str">
        <f>'Part VIII-Threshold Criteria'!A344</f>
        <v>In a letter dted April 30, 2018 DCA stated the project team is "Qualified".</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1879</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4158</v>
      </c>
      <c r="B1441" s="2544" t="s">
        <v>2683</v>
      </c>
      <c r="C1441" s="2544"/>
      <c r="D1441" s="2659"/>
      <c r="E1441" s="2665"/>
      <c r="F1441" s="2665"/>
      <c r="G1441" s="2665"/>
      <c r="H1441" s="2665"/>
      <c r="I1441" s="2665"/>
      <c r="J1441" s="2665"/>
      <c r="K1441" s="2665"/>
      <c r="L1441" s="2665"/>
      <c r="M1441" s="2665"/>
      <c r="O1441" s="2661" t="s">
        <v>1880</v>
      </c>
      <c r="P1441" s="2570">
        <f>'Part VIII-Threshold Criteria'!P347</f>
        <v>0</v>
      </c>
      <c r="Q1441" s="2570">
        <f>'Part VIII-Threshold Criteria'!Q347</f>
        <v>0</v>
      </c>
    </row>
    <row r="1442" spans="1:17">
      <c r="A1442" s="2699" t="s">
        <v>1998</v>
      </c>
      <c r="B1442" s="2687" t="s">
        <v>3683</v>
      </c>
      <c r="D1442" s="2687"/>
      <c r="E1442" s="2687"/>
      <c r="F1442" s="2687"/>
      <c r="G1442" s="2687"/>
      <c r="H1442" s="2687"/>
      <c r="I1442" s="2687"/>
      <c r="J1442" s="2687"/>
      <c r="K1442" s="2687"/>
      <c r="L1442" s="2687"/>
      <c r="M1442" s="2687"/>
      <c r="N1442" s="2687"/>
      <c r="O1442" s="2713" t="s">
        <v>1998</v>
      </c>
      <c r="P1442" s="2668" t="str">
        <f>'Part VIII-Threshold Criteria'!P348</f>
        <v>Yes</v>
      </c>
      <c r="Q1442" s="2668">
        <f>'Part VIII-Threshold Criteria'!Q348</f>
        <v>0</v>
      </c>
    </row>
    <row r="1443" spans="1:17">
      <c r="A1443" s="2699" t="s">
        <v>2000</v>
      </c>
      <c r="B1443" s="2687" t="s">
        <v>3883</v>
      </c>
      <c r="D1443" s="2687"/>
      <c r="E1443" s="2687"/>
      <c r="F1443" s="2687"/>
      <c r="G1443" s="2687"/>
      <c r="H1443" s="2687"/>
      <c r="I1443" s="2687"/>
      <c r="J1443" s="2687"/>
      <c r="K1443" s="2687"/>
      <c r="L1443" s="2687"/>
      <c r="M1443" s="2687"/>
      <c r="N1443" s="2687"/>
      <c r="O1443" s="2713" t="s">
        <v>2000</v>
      </c>
      <c r="P1443" s="2668" t="str">
        <f>'Part VIII-Threshold Criteria'!P349</f>
        <v>No</v>
      </c>
      <c r="Q1443" s="2668">
        <f>'Part VIII-Threshold Criteria'!Q349</f>
        <v>0</v>
      </c>
    </row>
    <row r="1444" spans="1:17" ht="12.75" customHeight="1">
      <c r="A1444" s="2699" t="s">
        <v>756</v>
      </c>
      <c r="B1444" s="2662" t="s">
        <v>4142</v>
      </c>
      <c r="C1444" s="2662"/>
      <c r="D1444" s="2662"/>
      <c r="E1444" s="2662"/>
      <c r="F1444" s="2662"/>
      <c r="G1444" s="2662"/>
      <c r="H1444" s="2662"/>
      <c r="I1444" s="2662"/>
      <c r="J1444" s="2662"/>
      <c r="K1444" s="2662"/>
      <c r="L1444" s="2662"/>
      <c r="M1444" s="2662"/>
      <c r="N1444" s="2662"/>
      <c r="O1444" s="2713" t="s">
        <v>756</v>
      </c>
      <c r="P1444" s="2668" t="str">
        <f>'Part VIII-Threshold Criteria'!P350</f>
        <v>Yes</v>
      </c>
      <c r="Q1444" s="2668">
        <f>'Part VIII-Threshold Criteria'!Q350</f>
        <v>0</v>
      </c>
    </row>
    <row r="1445" spans="1:17">
      <c r="B1445" s="2599" t="s">
        <v>3783</v>
      </c>
      <c r="D1445" s="2599"/>
      <c r="E1445" s="2599"/>
      <c r="F1445" s="2599"/>
      <c r="G1445" s="2599"/>
      <c r="H1445" s="2598"/>
      <c r="I1445" s="2660"/>
      <c r="J1445" s="2660"/>
      <c r="K1445" s="2660"/>
      <c r="L1445" s="2562"/>
      <c r="M1445" s="2562"/>
      <c r="N1445" s="2562"/>
      <c r="O1445" s="2562"/>
      <c r="P1445" s="2562"/>
      <c r="Q1445" s="2562"/>
    </row>
    <row r="1446" spans="1:17" ht="157.5">
      <c r="A1446" s="2662" t="str">
        <f>'Part VIII-Threshold Criteria'!A352</f>
        <v>All required documents were submitted in a 2018 preapplication and a letter dated April 30, 2018 from DCA indicated the team is "qualified".</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1879</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4161</v>
      </c>
      <c r="B1450" s="2544" t="s">
        <v>4128</v>
      </c>
      <c r="C1450" s="2544"/>
      <c r="D1450" s="2544"/>
      <c r="E1450" s="2544"/>
      <c r="F1450" s="2544"/>
      <c r="G1450" s="2544"/>
      <c r="H1450" s="2665"/>
      <c r="I1450" s="2665"/>
      <c r="J1450" s="2665"/>
      <c r="K1450" s="2665"/>
      <c r="L1450" s="2665"/>
      <c r="M1450" s="2665"/>
      <c r="O1450" s="2661" t="s">
        <v>1880</v>
      </c>
      <c r="P1450" s="2570">
        <f>'Part VIII-Threshold Criteria'!P356</f>
        <v>0</v>
      </c>
      <c r="Q1450" s="2570">
        <f>'Part VIII-Threshold Criteria'!Q356</f>
        <v>0</v>
      </c>
    </row>
    <row r="1451" spans="1:17">
      <c r="A1451" s="2701" t="s">
        <v>1998</v>
      </c>
      <c r="B1451" s="478" t="s">
        <v>4129</v>
      </c>
      <c r="D1451" s="2560"/>
      <c r="E1451" s="2560"/>
      <c r="F1451" s="2560"/>
      <c r="G1451" s="2560"/>
      <c r="H1451" s="2703" t="s">
        <v>1998</v>
      </c>
      <c r="I1451" s="2659" t="str">
        <f>'Part VIII-Threshold Criteria'!I357</f>
        <v>NA</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2000</v>
      </c>
      <c r="B1452" s="478" t="s">
        <v>4130</v>
      </c>
      <c r="D1452" s="2560"/>
      <c r="E1452" s="2560"/>
      <c r="F1452" s="2560"/>
      <c r="G1452" s="2560"/>
      <c r="H1452" s="2713" t="s">
        <v>2000</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756</v>
      </c>
      <c r="B1453" s="2627" t="s">
        <v>4120</v>
      </c>
      <c r="C1453" s="2627"/>
      <c r="D1453" s="2627"/>
      <c r="E1453" s="2627"/>
      <c r="F1453" s="2627"/>
      <c r="G1453" s="2627"/>
      <c r="H1453" s="2627"/>
      <c r="I1453" s="2627"/>
      <c r="J1453" s="2627"/>
      <c r="K1453" s="2627"/>
      <c r="L1453" s="2627"/>
      <c r="M1453" s="2627"/>
      <c r="N1453" s="2627"/>
      <c r="O1453" s="2713" t="s">
        <v>756</v>
      </c>
      <c r="P1453" s="2714">
        <f>'Part VIII-Threshold Criteria'!P359</f>
        <v>0</v>
      </c>
      <c r="Q1453" s="2714">
        <f>'Part VIII-Threshold Criteria'!Q359</f>
        <v>0</v>
      </c>
    </row>
    <row r="1454" spans="1:17" ht="12.75" customHeight="1">
      <c r="A1454" s="2699" t="s">
        <v>2130</v>
      </c>
      <c r="B1454" s="2662" t="s">
        <v>4121</v>
      </c>
      <c r="C1454" s="2662"/>
      <c r="D1454" s="2662"/>
      <c r="E1454" s="2662"/>
      <c r="F1454" s="2662"/>
      <c r="G1454" s="2662"/>
      <c r="H1454" s="2662"/>
      <c r="I1454" s="2662"/>
      <c r="J1454" s="2662"/>
      <c r="K1454" s="2662"/>
      <c r="L1454" s="2662"/>
      <c r="M1454" s="2662"/>
      <c r="N1454" s="2662"/>
      <c r="O1454" s="2703" t="s">
        <v>2130</v>
      </c>
      <c r="P1454" s="2714">
        <f>'Part VIII-Threshold Criteria'!P360</f>
        <v>0</v>
      </c>
      <c r="Q1454" s="2714">
        <f>'Part VIII-Threshold Criteria'!Q360</f>
        <v>0</v>
      </c>
    </row>
    <row r="1455" spans="1:17">
      <c r="A1455" s="2699" t="s">
        <v>1747</v>
      </c>
      <c r="B1455" s="478" t="s">
        <v>4122</v>
      </c>
      <c r="D1455" s="478"/>
      <c r="E1455" s="478"/>
      <c r="F1455" s="478"/>
      <c r="G1455" s="478"/>
      <c r="H1455" s="478"/>
      <c r="I1455" s="478"/>
      <c r="J1455" s="478"/>
      <c r="K1455" s="478"/>
      <c r="L1455" s="478"/>
      <c r="M1455" s="478"/>
      <c r="O1455" s="2713" t="s">
        <v>1747</v>
      </c>
      <c r="P1455" s="2668">
        <f>'Part VIII-Threshold Criteria'!P361</f>
        <v>0</v>
      </c>
      <c r="Q1455" s="2668">
        <f>'Part VIII-Threshold Criteria'!Q361</f>
        <v>0</v>
      </c>
    </row>
    <row r="1456" spans="1:17" ht="12.75" customHeight="1">
      <c r="A1456" s="2699" t="s">
        <v>1748</v>
      </c>
      <c r="B1456" s="2662" t="s">
        <v>4123</v>
      </c>
      <c r="C1456" s="2662"/>
      <c r="D1456" s="2662"/>
      <c r="E1456" s="2662"/>
      <c r="F1456" s="2662"/>
      <c r="G1456" s="2662"/>
      <c r="H1456" s="2662"/>
      <c r="I1456" s="2662"/>
      <c r="J1456" s="2662"/>
      <c r="K1456" s="2662"/>
      <c r="L1456" s="2662"/>
      <c r="M1456" s="2662"/>
      <c r="N1456" s="2662"/>
      <c r="O1456" s="2713" t="s">
        <v>1748</v>
      </c>
      <c r="P1456" s="2714">
        <f>'Part VIII-Threshold Criteria'!P362</f>
        <v>0</v>
      </c>
      <c r="Q1456" s="2714">
        <f>'Part VIII-Threshold Criteria'!Q362</f>
        <v>0</v>
      </c>
    </row>
    <row r="1457" spans="1:17">
      <c r="A1457" s="2699" t="s">
        <v>1961</v>
      </c>
      <c r="B1457" s="2687" t="s">
        <v>4124</v>
      </c>
      <c r="C1457" s="2679"/>
      <c r="D1457" s="2662"/>
      <c r="E1457" s="2662"/>
      <c r="F1457" s="2662"/>
      <c r="G1457" s="2662"/>
      <c r="H1457" s="2662"/>
      <c r="I1457" s="2662"/>
      <c r="J1457" s="2662"/>
      <c r="K1457" s="2662"/>
      <c r="L1457" s="2662"/>
      <c r="M1457" s="2662"/>
      <c r="N1457" s="2662"/>
      <c r="O1457" s="2713" t="s">
        <v>1961</v>
      </c>
      <c r="P1457" s="2714">
        <f>'Part VIII-Threshold Criteria'!P363</f>
        <v>0</v>
      </c>
      <c r="Q1457" s="2714">
        <f>'Part VIII-Threshold Criteria'!Q363</f>
        <v>0</v>
      </c>
    </row>
    <row r="1458" spans="1:17">
      <c r="A1458" s="2679"/>
      <c r="B1458" s="2679"/>
      <c r="C1458" s="2722" t="s">
        <v>4787</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3391</v>
      </c>
      <c r="B1459" s="2662" t="s">
        <v>4125</v>
      </c>
      <c r="C1459" s="2662"/>
      <c r="D1459" s="2662"/>
      <c r="E1459" s="2662"/>
      <c r="F1459" s="2662"/>
      <c r="G1459" s="2662"/>
      <c r="H1459" s="2662"/>
      <c r="I1459" s="2662"/>
      <c r="J1459" s="2662"/>
      <c r="K1459" s="2662"/>
      <c r="L1459" s="2662"/>
      <c r="M1459" s="2662"/>
      <c r="N1459" s="2662"/>
      <c r="O1459" s="2713" t="s">
        <v>3391</v>
      </c>
      <c r="P1459" s="2714">
        <f>'Part VIII-Threshold Criteria'!P365</f>
        <v>0</v>
      </c>
      <c r="Q1459" s="2714">
        <f>'Part VIII-Threshold Criteria'!Q365</f>
        <v>0</v>
      </c>
    </row>
    <row r="1460" spans="1:17" ht="12.75" customHeight="1">
      <c r="A1460" s="2699" t="s">
        <v>621</v>
      </c>
      <c r="B1460" s="2662" t="s">
        <v>4126</v>
      </c>
      <c r="C1460" s="2662"/>
      <c r="D1460" s="2662"/>
      <c r="E1460" s="2662"/>
      <c r="F1460" s="2662"/>
      <c r="G1460" s="2662"/>
      <c r="H1460" s="2662"/>
      <c r="I1460" s="2662"/>
      <c r="J1460" s="2662"/>
      <c r="K1460" s="2662"/>
      <c r="L1460" s="2662"/>
      <c r="M1460" s="2662"/>
      <c r="N1460" s="2662"/>
      <c r="O1460" s="2713" t="s">
        <v>621</v>
      </c>
      <c r="P1460" s="2714">
        <f>'Part VIII-Threshold Criteria'!P366</f>
        <v>0</v>
      </c>
      <c r="Q1460" s="2714">
        <f>'Part VIII-Threshold Criteria'!Q366</f>
        <v>0</v>
      </c>
    </row>
    <row r="1461" spans="1:17">
      <c r="B1461" s="2599" t="s">
        <v>3783</v>
      </c>
      <c r="D1461" s="2599"/>
      <c r="E1461" s="2599"/>
      <c r="F1461" s="2599"/>
      <c r="G1461" s="2599"/>
      <c r="H1461" s="2598"/>
      <c r="I1461" s="2660"/>
      <c r="J1461" s="2660"/>
      <c r="K1461" s="2660"/>
      <c r="L1461" s="2562"/>
      <c r="M1461" s="2562"/>
      <c r="N1461" s="2562"/>
      <c r="O1461" s="2562"/>
      <c r="P1461" s="2562"/>
      <c r="Q1461" s="2562"/>
    </row>
    <row r="1462" spans="1:17" ht="45">
      <c r="A1462" s="2662" t="str">
        <f>'Part VIII-Threshold Criteria'!A368</f>
        <v>The applicant is not a non-profit</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1879</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4162</v>
      </c>
      <c r="B1466" s="2544" t="s">
        <v>3952</v>
      </c>
      <c r="C1466" s="2544"/>
      <c r="D1466" s="2544"/>
      <c r="E1466" s="2544"/>
      <c r="F1466" s="2544"/>
      <c r="G1466" s="2544"/>
      <c r="H1466" s="2665"/>
      <c r="I1466" s="2665"/>
      <c r="J1466" s="2665"/>
      <c r="O1466" s="2661" t="s">
        <v>1880</v>
      </c>
      <c r="P1466" s="2570">
        <f>'Part VIII-Threshold Criteria'!P372</f>
        <v>0</v>
      </c>
      <c r="Q1466" s="2570">
        <f>'Part VIII-Threshold Criteria'!Q372</f>
        <v>0</v>
      </c>
    </row>
    <row r="1467" spans="1:17">
      <c r="A1467" s="2701" t="s">
        <v>1998</v>
      </c>
      <c r="B1467" s="2659" t="s">
        <v>3954</v>
      </c>
      <c r="C1467" s="2355"/>
      <c r="D1467" s="478"/>
      <c r="E1467" s="478"/>
      <c r="F1467" s="478"/>
      <c r="G1467" s="478"/>
      <c r="H1467" s="478"/>
      <c r="I1467" s="478"/>
      <c r="J1467" s="478"/>
      <c r="K1467" s="478"/>
      <c r="L1467" s="478"/>
      <c r="M1467" s="478"/>
      <c r="N1467" s="478"/>
      <c r="O1467" s="478"/>
      <c r="P1467" s="478"/>
      <c r="Q1467" s="478"/>
    </row>
    <row r="1468" spans="1:17">
      <c r="A1468" s="2701"/>
      <c r="B1468" s="478" t="s">
        <v>1749</v>
      </c>
      <c r="C1468" s="478" t="s">
        <v>4179</v>
      </c>
      <c r="D1468" s="478"/>
      <c r="E1468" s="478"/>
      <c r="F1468" s="478"/>
      <c r="G1468" s="2659" t="str">
        <f>'Part VIII-Threshold Criteria'!G374</f>
        <v>Hillcrest Apartments</v>
      </c>
      <c r="H1468" s="2659">
        <f>'Part VIII-Threshold Criteria'!H374</f>
        <v>0</v>
      </c>
      <c r="I1468" s="2659">
        <f>'Part VIII-Threshold Criteria'!I374</f>
        <v>0</v>
      </c>
      <c r="J1468" s="2660" t="s">
        <v>3961</v>
      </c>
      <c r="K1468" s="2659" t="str">
        <f>'Part VIII-Threshold Criteria'!K374</f>
        <v>Dublin Housing, L.P.</v>
      </c>
      <c r="L1468" s="2659">
        <f>'Part VIII-Threshold Criteria'!L374</f>
        <v>0</v>
      </c>
      <c r="M1468" s="2659">
        <f>'Part VIII-Threshold Criteria'!M374</f>
        <v>0</v>
      </c>
      <c r="N1468" s="478" t="s">
        <v>3953</v>
      </c>
      <c r="O1468" s="478"/>
      <c r="P1468" s="2659" t="str">
        <f>'Part VIII-Threshold Criteria'!P374</f>
        <v>95-088</v>
      </c>
      <c r="Q1468" s="2659">
        <f>'Part VIII-Threshold Criteria'!Q374</f>
        <v>0</v>
      </c>
    </row>
    <row r="1469" spans="1:17">
      <c r="A1469" s="2355"/>
      <c r="B1469" s="478" t="s">
        <v>1750</v>
      </c>
      <c r="C1469" s="478" t="s">
        <v>3955</v>
      </c>
      <c r="D1469" s="2355"/>
      <c r="E1469" s="2355"/>
      <c r="F1469" s="2355"/>
      <c r="G1469" s="2355"/>
      <c r="H1469" s="2355"/>
      <c r="I1469" s="2703" t="s">
        <v>1750</v>
      </c>
      <c r="J1469" s="2738">
        <f>'Part VIII-Threshold Criteria'!J375</f>
        <v>35321</v>
      </c>
      <c r="K1469" s="2738">
        <f>'Part VIII-Threshold Criteria'!K375</f>
        <v>0</v>
      </c>
      <c r="L1469" s="2355"/>
      <c r="M1469" s="2355"/>
      <c r="N1469" s="2355"/>
      <c r="O1469" s="2355"/>
      <c r="P1469" s="2355"/>
      <c r="Q1469" s="2355"/>
    </row>
    <row r="1470" spans="1:17">
      <c r="A1470" s="2701"/>
      <c r="B1470" s="478" t="s">
        <v>1751</v>
      </c>
      <c r="C1470" s="478" t="s">
        <v>3956</v>
      </c>
      <c r="D1470" s="2554"/>
      <c r="E1470" s="2627"/>
      <c r="F1470" s="2704" t="str">
        <f>'Part VIII-Threshold Criteria'!F376</f>
        <v>Rural</v>
      </c>
      <c r="G1470" s="2704">
        <f>'Part VIII-Threshold Criteria'!G376</f>
        <v>0</v>
      </c>
      <c r="H1470" s="2592" t="s">
        <v>3957</v>
      </c>
      <c r="I1470" s="2627"/>
      <c r="J1470" s="2627"/>
      <c r="K1470" s="2627"/>
      <c r="L1470" s="2627"/>
      <c r="M1470" s="2627"/>
      <c r="N1470" s="2627"/>
      <c r="O1470" s="2703" t="s">
        <v>1751</v>
      </c>
      <c r="P1470" s="2668" t="str">
        <f>'Part VIII-Threshold Criteria'!P376</f>
        <v>Yes</v>
      </c>
      <c r="Q1470" s="2668">
        <f>'Part VIII-Threshold Criteria'!Q376</f>
        <v>0</v>
      </c>
    </row>
    <row r="1471" spans="1:17">
      <c r="A1471" s="2701"/>
      <c r="B1471" s="478" t="s">
        <v>2380</v>
      </c>
      <c r="C1471" s="478" t="s">
        <v>3958</v>
      </c>
      <c r="D1471" s="2355"/>
      <c r="E1471" s="2627"/>
      <c r="F1471" s="2627"/>
      <c r="G1471" s="2627"/>
      <c r="H1471" s="2627"/>
      <c r="I1471" s="2627"/>
      <c r="J1471" s="2739">
        <f>'Part VIII-Threshold Criteria'!J377</f>
        <v>824975</v>
      </c>
      <c r="K1471" s="2739">
        <f>'Part VIII-Threshold Criteria'!K377</f>
        <v>0</v>
      </c>
      <c r="L1471" s="2739">
        <f>'Part VIII-Threshold Criteria'!L377</f>
        <v>0</v>
      </c>
      <c r="M1471" s="2739">
        <f>'Part VIII-Threshold Criteria'!M377</f>
        <v>0</v>
      </c>
      <c r="N1471" s="478" t="s">
        <v>3968</v>
      </c>
      <c r="O1471" s="2703"/>
      <c r="P1471" s="2668" t="str">
        <f>'Part VIII-Threshold Criteria'!P377</f>
        <v>Yes</v>
      </c>
      <c r="Q1471" s="2668">
        <f>'Part VIII-Threshold Criteria'!Q377</f>
        <v>0</v>
      </c>
    </row>
    <row r="1472" spans="1:17">
      <c r="A1472" s="2701"/>
      <c r="B1472" s="478" t="s">
        <v>1560</v>
      </c>
      <c r="C1472" s="478" t="s">
        <v>3959</v>
      </c>
      <c r="D1472" s="2355"/>
      <c r="E1472" s="478"/>
      <c r="F1472" s="2739">
        <f>'Part VIII-Threshold Criteria'!F378</f>
        <v>295000</v>
      </c>
      <c r="G1472" s="2739">
        <f>'Part VIII-Threshold Criteria'!G378</f>
        <v>0</v>
      </c>
      <c r="H1472" s="478" t="s">
        <v>3960</v>
      </c>
      <c r="I1472" s="478"/>
      <c r="J1472" s="2659" t="str">
        <f>IF(F1472&gt;'DCA Underwriting Assumptions'!$Q$129, "Request exceeds DCA per project maximum for set aside!!!","")</f>
        <v/>
      </c>
      <c r="K1472" s="478"/>
      <c r="L1472" s="478"/>
      <c r="M1472" s="2355"/>
      <c r="N1472" s="2355"/>
      <c r="O1472" s="2703" t="s">
        <v>1560</v>
      </c>
      <c r="P1472" s="2668" t="str">
        <f>'Part VIII-Threshold Criteria'!P378</f>
        <v>Yes</v>
      </c>
      <c r="Q1472" s="2668">
        <f>'Part VIII-Threshold Criteria'!Q378</f>
        <v>0</v>
      </c>
    </row>
    <row r="1473" spans="1:17">
      <c r="A1473" s="2701"/>
      <c r="B1473" s="478" t="s">
        <v>1561</v>
      </c>
      <c r="C1473" s="478" t="s">
        <v>3962</v>
      </c>
      <c r="D1473" s="2355"/>
      <c r="E1473" s="478"/>
      <c r="F1473" s="478"/>
      <c r="G1473" s="478"/>
      <c r="H1473" s="478" t="s">
        <v>3617</v>
      </c>
      <c r="I1473" s="478"/>
      <c r="J1473" s="2739">
        <f>'Part VIII-Threshold Criteria'!J379</f>
        <v>249409</v>
      </c>
      <c r="K1473" s="2739">
        <f>'Part VIII-Threshold Criteria'!K379</f>
        <v>0</v>
      </c>
      <c r="L1473" s="478" t="s">
        <v>3963</v>
      </c>
      <c r="M1473" s="2739">
        <f>'Part VIII-Threshold Criteria'!M379</f>
        <v>0</v>
      </c>
      <c r="N1473" s="2739">
        <f>'Part VIII-Threshold Criteria'!N379</f>
        <v>0</v>
      </c>
      <c r="O1473" s="2355"/>
      <c r="P1473" s="2355"/>
      <c r="Q1473" s="2355"/>
    </row>
    <row r="1474" spans="1:17">
      <c r="A1474" s="2355"/>
      <c r="B1474" s="478" t="s">
        <v>99</v>
      </c>
      <c r="C1474" s="478" t="s">
        <v>3964</v>
      </c>
      <c r="D1474" s="2355"/>
      <c r="E1474" s="2627"/>
      <c r="F1474" s="2627"/>
      <c r="G1474" s="2627"/>
      <c r="H1474" s="2627"/>
      <c r="I1474" s="2627"/>
      <c r="J1474" s="2627"/>
      <c r="K1474" s="2627"/>
      <c r="L1474" s="2627"/>
      <c r="M1474" s="2627"/>
      <c r="N1474" s="2627"/>
      <c r="O1474" s="2703" t="s">
        <v>99</v>
      </c>
      <c r="P1474" s="2668" t="str">
        <f>'Part VIII-Threshold Criteria'!P380</f>
        <v>Yes</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2000</v>
      </c>
      <c r="B1476" s="2659" t="s">
        <v>3965</v>
      </c>
      <c r="C1476" s="2355"/>
      <c r="D1476" s="2627"/>
      <c r="E1476" s="2627"/>
      <c r="F1476" s="2627"/>
      <c r="G1476" s="2627"/>
      <c r="H1476" s="2627"/>
      <c r="I1476" s="2355"/>
      <c r="J1476" s="478" t="s">
        <v>3970</v>
      </c>
      <c r="K1476" s="478"/>
      <c r="L1476" s="478"/>
      <c r="M1476" s="478"/>
      <c r="N1476" s="2627" t="s">
        <v>3967</v>
      </c>
      <c r="O1476" s="2627"/>
      <c r="P1476" s="2627"/>
      <c r="Q1476" s="2627"/>
    </row>
    <row r="1477" spans="1:17">
      <c r="A1477" s="2355"/>
      <c r="B1477" s="478" t="s">
        <v>1749</v>
      </c>
      <c r="C1477" s="2598" t="s">
        <v>3966</v>
      </c>
      <c r="D1477" s="2355"/>
      <c r="E1477" s="2592"/>
      <c r="F1477" s="2592"/>
      <c r="G1477" s="2592"/>
      <c r="H1477" s="2592"/>
      <c r="I1477" s="2355"/>
      <c r="J1477" s="2739">
        <f>'Part VIII-Threshold Criteria'!J383</f>
        <v>1312500</v>
      </c>
      <c r="K1477" s="2739">
        <f>'Part VIII-Threshold Criteria'!K383</f>
        <v>0</v>
      </c>
      <c r="L1477" s="2739">
        <f>'Part VIII-Threshold Criteria'!L383</f>
        <v>0</v>
      </c>
      <c r="M1477" s="2739">
        <f>'Part VIII-Threshold Criteria'!M383</f>
        <v>0</v>
      </c>
      <c r="N1477" s="2740">
        <f>IF(J1477="","",J1471/J1477)</f>
        <v>0.62855238095238097</v>
      </c>
      <c r="O1477" s="2740" t="e">
        <f>IF(L1477="","",L1471/L1477)</f>
        <v>#DIV/0!</v>
      </c>
      <c r="P1477" s="2668" t="str">
        <f>'Part VIII-Threshold Criteria'!P383</f>
        <v>Yes</v>
      </c>
      <c r="Q1477" s="2668">
        <f>'Part VIII-Threshold Criteria'!Q383</f>
        <v>0</v>
      </c>
    </row>
    <row r="1478" spans="1:17">
      <c r="A1478" s="2355"/>
      <c r="B1478" s="478" t="s">
        <v>1750</v>
      </c>
      <c r="C1478" s="478" t="s">
        <v>3969</v>
      </c>
      <c r="D1478" s="2355"/>
      <c r="E1478" s="2627"/>
      <c r="F1478" s="2627"/>
      <c r="G1478" s="2627"/>
      <c r="H1478" s="2627"/>
      <c r="I1478" s="2355"/>
      <c r="J1478" s="2355"/>
      <c r="K1478" s="2355"/>
      <c r="L1478" s="2355"/>
      <c r="M1478" s="2355"/>
      <c r="N1478" s="2627"/>
      <c r="O1478" s="2703" t="s">
        <v>1750</v>
      </c>
      <c r="P1478" s="2741">
        <f>'Part VIII-Threshold Criteria'!P384</f>
        <v>42</v>
      </c>
      <c r="Q1478" s="2741">
        <f>'Part VIII-Threshold Criteria'!Q384</f>
        <v>0</v>
      </c>
    </row>
    <row r="1479" spans="1:17">
      <c r="A1479" s="2355"/>
      <c r="B1479" s="478" t="s">
        <v>1751</v>
      </c>
      <c r="C1479" s="478" t="s">
        <v>3971</v>
      </c>
      <c r="D1479" s="2355"/>
      <c r="E1479" s="2627"/>
      <c r="F1479" s="2627"/>
      <c r="G1479" s="2627"/>
      <c r="H1479" s="2627"/>
      <c r="I1479" s="2355"/>
      <c r="J1479" s="2355"/>
      <c r="K1479" s="2355"/>
      <c r="L1479" s="2355"/>
      <c r="M1479" s="2627"/>
      <c r="N1479" s="2627"/>
      <c r="O1479" s="2703" t="s">
        <v>1751</v>
      </c>
      <c r="P1479" s="2668" t="str">
        <f>'Part VIII-Threshold Criteria'!P385</f>
        <v>Yes</v>
      </c>
      <c r="Q1479" s="2668">
        <f>'Part VIII-Threshold Criteria'!Q385</f>
        <v>0</v>
      </c>
    </row>
    <row r="1480" spans="1:17">
      <c r="B1480" s="2599" t="s">
        <v>3783</v>
      </c>
      <c r="D1480" s="2599"/>
      <c r="E1480" s="2599"/>
      <c r="F1480" s="2599"/>
      <c r="G1480" s="2599"/>
      <c r="H1480" s="2598"/>
      <c r="I1480" s="2660"/>
      <c r="J1480" s="2660"/>
      <c r="K1480" s="2660"/>
      <c r="L1480" s="2562"/>
      <c r="M1480" s="2562"/>
      <c r="N1480" s="2562"/>
      <c r="O1480" s="2562"/>
      <c r="P1480" s="2562"/>
      <c r="Q1480" s="2562"/>
    </row>
    <row r="1481" spans="1:17" ht="315">
      <c r="A1481" s="2662" t="str">
        <f>'Part VIII-Threshold Criteria'!A387</f>
        <v>The balance on the HOME loan is calculated this way.  Original loan was $1,312,500 and the property has a current balance sinking loan payment account of $487,525 cash which will pay the loan down to $824,975 which will be completely paid off at closing of the rehab.</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1879</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4163</v>
      </c>
      <c r="B1486" s="2544" t="s">
        <v>2700</v>
      </c>
      <c r="C1486" s="2544"/>
      <c r="D1486" s="2544"/>
      <c r="E1486" s="2544"/>
      <c r="F1486" s="2544"/>
      <c r="G1486" s="2544"/>
      <c r="H1486" s="2665"/>
      <c r="I1486" s="2665"/>
      <c r="J1486" s="2665"/>
      <c r="O1486" s="2661" t="s">
        <v>1880</v>
      </c>
      <c r="P1486" s="2570">
        <f>'Part VIII-Threshold Criteria'!P392</f>
        <v>0</v>
      </c>
      <c r="Q1486" s="2570">
        <f>'Part VIII-Threshold Criteria'!Q392</f>
        <v>0</v>
      </c>
    </row>
    <row r="1487" spans="1:17">
      <c r="A1487" s="2701" t="s">
        <v>1998</v>
      </c>
      <c r="B1487" s="478" t="s">
        <v>1043</v>
      </c>
      <c r="E1487" s="2659" t="str">
        <f>'Part VIII-Threshold Criteria'!E393</f>
        <v>nA</v>
      </c>
      <c r="F1487" s="2659">
        <f>'Part VIII-Threshold Criteria'!F393</f>
        <v>0</v>
      </c>
      <c r="G1487" s="2659">
        <f>'Part VIII-Threshold Criteria'!G393</f>
        <v>0</v>
      </c>
      <c r="H1487" s="2659">
        <f>'Part VIII-Threshold Criteria'!H393</f>
        <v>0</v>
      </c>
      <c r="I1487" s="2659">
        <f>'Part VIII-Threshold Criteria'!I393</f>
        <v>0</v>
      </c>
      <c r="J1487" s="478" t="s">
        <v>2687</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2000</v>
      </c>
      <c r="B1488" s="478" t="s">
        <v>3486</v>
      </c>
      <c r="D1488" s="478"/>
      <c r="E1488" s="478"/>
      <c r="F1488" s="478"/>
      <c r="G1488" s="478"/>
      <c r="H1488" s="478"/>
      <c r="I1488" s="478"/>
      <c r="J1488" s="478"/>
      <c r="K1488" s="478"/>
      <c r="L1488" s="2598"/>
      <c r="M1488" s="2598"/>
      <c r="O1488" s="2703" t="s">
        <v>2000</v>
      </c>
      <c r="P1488" s="2668">
        <f>'Part VIII-Threshold Criteria'!P394</f>
        <v>0</v>
      </c>
      <c r="Q1488" s="2668">
        <f>'Part VIII-Threshold Criteria'!Q394</f>
        <v>0</v>
      </c>
    </row>
    <row r="1489" spans="1:17" ht="12.75" customHeight="1">
      <c r="A1489" s="2699" t="s">
        <v>756</v>
      </c>
      <c r="B1489" s="2662" t="s">
        <v>3496</v>
      </c>
      <c r="C1489" s="2662"/>
      <c r="D1489" s="2662"/>
      <c r="E1489" s="2662"/>
      <c r="F1489" s="2662"/>
      <c r="G1489" s="2662"/>
      <c r="H1489" s="2662"/>
      <c r="I1489" s="2662"/>
      <c r="J1489" s="2662"/>
      <c r="K1489" s="2662"/>
      <c r="L1489" s="2662"/>
      <c r="M1489" s="2662"/>
      <c r="N1489" s="2662"/>
      <c r="O1489" s="2713" t="s">
        <v>756</v>
      </c>
      <c r="P1489" s="2714">
        <f>'Part VIII-Threshold Criteria'!P395</f>
        <v>0</v>
      </c>
      <c r="Q1489" s="2714">
        <f>'Part VIII-Threshold Criteria'!Q395</f>
        <v>0</v>
      </c>
    </row>
    <row r="1490" spans="1:17">
      <c r="A1490" s="2701" t="s">
        <v>2130</v>
      </c>
      <c r="B1490" s="1156" t="s">
        <v>3726</v>
      </c>
      <c r="G1490" s="2592"/>
      <c r="H1490" s="2592"/>
      <c r="I1490" s="2592"/>
      <c r="J1490" s="2598" t="s">
        <v>3727</v>
      </c>
      <c r="L1490" s="2592"/>
      <c r="M1490" s="2742">
        <f>'Part III-Sources of Funds'!E1105</f>
        <v>0</v>
      </c>
      <c r="N1490" s="2742"/>
      <c r="O1490" s="2703" t="s">
        <v>2130</v>
      </c>
      <c r="P1490" s="2668">
        <f>'Part VIII-Threshold Criteria'!P396</f>
        <v>0</v>
      </c>
      <c r="Q1490" s="2668">
        <f>'Part VIII-Threshold Criteria'!Q396</f>
        <v>0</v>
      </c>
    </row>
    <row r="1491" spans="1:17">
      <c r="B1491" s="2599" t="s">
        <v>3783</v>
      </c>
      <c r="D1491" s="2599"/>
      <c r="E1491" s="2599"/>
      <c r="F1491" s="2599"/>
      <c r="G1491" s="2599"/>
      <c r="H1491" s="2598"/>
      <c r="I1491" s="2660"/>
      <c r="J1491" s="2660"/>
      <c r="K1491" s="2660"/>
      <c r="L1491" s="2562"/>
      <c r="M1491" s="2562"/>
      <c r="N1491" s="2562"/>
      <c r="O1491" s="2562"/>
      <c r="P1491" s="2562"/>
      <c r="Q1491" s="2562"/>
    </row>
    <row r="1492" spans="1:17" ht="33.75">
      <c r="A1492" s="2662" t="str">
        <f>'Part VIII-Threshold Criteria'!A398</f>
        <v>This applicant is not a CHDO</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1879</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4164</v>
      </c>
      <c r="B1496" s="2544" t="s">
        <v>2684</v>
      </c>
      <c r="C1496" s="2544"/>
      <c r="D1496" s="2544"/>
      <c r="E1496" s="2665"/>
      <c r="G1496" s="2687" t="s">
        <v>707</v>
      </c>
      <c r="H1496" s="2665"/>
      <c r="I1496" s="2665"/>
      <c r="J1496" s="2665"/>
      <c r="K1496" s="2665"/>
      <c r="L1496" s="2665"/>
      <c r="M1496" s="2665"/>
      <c r="O1496" s="2661" t="s">
        <v>1880</v>
      </c>
      <c r="P1496" s="2570">
        <f>'Part VIII-Threshold Criteria'!P402</f>
        <v>0</v>
      </c>
      <c r="Q1496" s="2570">
        <f>'Part VIII-Threshold Criteria'!Q402</f>
        <v>0</v>
      </c>
    </row>
    <row r="1497" spans="1:17">
      <c r="A1497" s="2701" t="s">
        <v>1998</v>
      </c>
      <c r="B1497" s="478" t="s">
        <v>2689</v>
      </c>
      <c r="D1497" s="2662"/>
      <c r="E1497" s="2662"/>
      <c r="H1497" s="2687"/>
      <c r="O1497" s="2703" t="s">
        <v>1998</v>
      </c>
      <c r="P1497" s="2668" t="str">
        <f>'Part VIII-Threshold Criteria'!P403</f>
        <v>Yes</v>
      </c>
      <c r="Q1497" s="2668">
        <f>'Part VIII-Threshold Criteria'!Q403</f>
        <v>0</v>
      </c>
    </row>
    <row r="1498" spans="1:17">
      <c r="A1498" s="2701" t="s">
        <v>2000</v>
      </c>
      <c r="B1498" s="478" t="s">
        <v>3607</v>
      </c>
      <c r="D1498" s="2662"/>
      <c r="E1498" s="2662"/>
      <c r="O1498" s="2703" t="s">
        <v>2000</v>
      </c>
      <c r="P1498" s="2668" t="str">
        <f>'Part VIII-Threshold Criteria'!P404</f>
        <v>No</v>
      </c>
      <c r="Q1498" s="2668">
        <f>'Part VIII-Threshold Criteria'!Q404</f>
        <v>0</v>
      </c>
    </row>
    <row r="1499" spans="1:17">
      <c r="A1499" s="2701" t="s">
        <v>756</v>
      </c>
      <c r="B1499" s="478" t="s">
        <v>4127</v>
      </c>
      <c r="D1499" s="2662"/>
      <c r="E1499" s="2662"/>
      <c r="O1499" s="2703" t="s">
        <v>756</v>
      </c>
      <c r="P1499" s="2668">
        <f>'Part VIII-Threshold Criteria'!P405</f>
        <v>0</v>
      </c>
      <c r="Q1499" s="2668">
        <f>'Part VIII-Threshold Criteria'!Q405</f>
        <v>0</v>
      </c>
    </row>
    <row r="1500" spans="1:17">
      <c r="A1500" s="2701" t="s">
        <v>2130</v>
      </c>
      <c r="B1500" s="478" t="s">
        <v>3608</v>
      </c>
      <c r="E1500" s="2687"/>
      <c r="O1500" s="2703" t="s">
        <v>2130</v>
      </c>
      <c r="P1500" s="2668" t="str">
        <f>'Part VIII-Threshold Criteria'!P406</f>
        <v>No</v>
      </c>
      <c r="Q1500" s="2668">
        <f>'Part VIII-Threshold Criteria'!Q406</f>
        <v>0</v>
      </c>
    </row>
    <row r="1501" spans="1:17">
      <c r="A1501" s="2701" t="s">
        <v>1747</v>
      </c>
      <c r="B1501" s="478" t="s">
        <v>2094</v>
      </c>
      <c r="E1501" s="2687"/>
      <c r="G1501" s="2703" t="s">
        <v>1747</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3783</v>
      </c>
      <c r="D1502" s="2599"/>
      <c r="E1502" s="2599"/>
      <c r="F1502" s="2599"/>
      <c r="G1502" s="2599"/>
      <c r="H1502" s="2598"/>
      <c r="I1502" s="2660"/>
      <c r="J1502" s="2660"/>
      <c r="K1502" s="2660"/>
      <c r="L1502" s="2562"/>
      <c r="M1502" s="2562"/>
      <c r="N1502" s="2562"/>
      <c r="O1502" s="2562"/>
      <c r="P1502" s="2562"/>
      <c r="Q1502" s="2562"/>
    </row>
    <row r="1503" spans="1:17" ht="168.75">
      <c r="A1503" s="2662" t="str">
        <f>'Part VIII-Threshold Criteria'!A409</f>
        <v>The applicant is eligible for acquisition because of the length of time of ownership.  An opinion letter from Coleman Talley is included in the application.</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1879</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4165</v>
      </c>
      <c r="B1507" s="2544" t="s">
        <v>2685</v>
      </c>
      <c r="C1507" s="2544"/>
      <c r="D1507" s="2544"/>
      <c r="E1507" s="2544"/>
      <c r="F1507" s="2544"/>
      <c r="G1507" s="2544"/>
      <c r="H1507" s="2665"/>
      <c r="I1507" s="2665"/>
      <c r="J1507" s="2665"/>
      <c r="K1507" s="2665"/>
      <c r="L1507" s="2665"/>
      <c r="M1507" s="2665"/>
      <c r="O1507" s="2661" t="s">
        <v>1880</v>
      </c>
      <c r="P1507" s="2570">
        <f>'Part VIII-Threshold Criteria'!P413</f>
        <v>0</v>
      </c>
      <c r="Q1507" s="2570">
        <f>'Part VIII-Threshold Criteria'!Q413</f>
        <v>0</v>
      </c>
    </row>
    <row r="1508" spans="1:17">
      <c r="A1508" s="2701" t="s">
        <v>1998</v>
      </c>
      <c r="B1508" s="478" t="s">
        <v>759</v>
      </c>
      <c r="D1508" s="2355"/>
      <c r="E1508" s="2355"/>
      <c r="F1508" s="2355"/>
      <c r="G1508" s="2355"/>
      <c r="H1508" s="2355"/>
      <c r="I1508" s="2355"/>
      <c r="J1508" s="2355"/>
      <c r="K1508" s="2355"/>
      <c r="L1508" s="2355"/>
      <c r="M1508" s="2355"/>
      <c r="N1508" s="2355"/>
      <c r="O1508" s="2703" t="s">
        <v>1998</v>
      </c>
      <c r="P1508" s="2668" t="str">
        <f>'Part VIII-Threshold Criteria'!P414</f>
        <v>Yes</v>
      </c>
      <c r="Q1508" s="2668">
        <f>'Part VIII-Threshold Criteria'!Q414</f>
        <v>0</v>
      </c>
    </row>
    <row r="1509" spans="1:17">
      <c r="A1509" s="2701" t="s">
        <v>2000</v>
      </c>
      <c r="B1509" s="478" t="s">
        <v>3498</v>
      </c>
      <c r="D1509" s="2355"/>
      <c r="E1509" s="2355"/>
      <c r="F1509" s="2355"/>
      <c r="G1509" s="2355"/>
      <c r="H1509" s="2355"/>
      <c r="I1509" s="2355"/>
      <c r="J1509" s="2355"/>
      <c r="K1509" s="2355"/>
      <c r="L1509" s="2355"/>
      <c r="M1509" s="2355"/>
      <c r="N1509" s="2355"/>
      <c r="O1509" s="2703" t="s">
        <v>1457</v>
      </c>
      <c r="P1509" s="2668" t="str">
        <f>'Part VIII-Threshold Criteria'!P415</f>
        <v>No</v>
      </c>
      <c r="Q1509" s="2668">
        <f>'Part VIII-Threshold Criteria'!Q415</f>
        <v>0</v>
      </c>
    </row>
    <row r="1510" spans="1:17">
      <c r="A1510" s="2701"/>
      <c r="B1510" s="478" t="s">
        <v>1494</v>
      </c>
      <c r="D1510" s="478"/>
      <c r="E1510" s="478"/>
      <c r="F1510" s="478"/>
      <c r="G1510" s="478"/>
      <c r="H1510" s="478"/>
      <c r="I1510" s="478"/>
      <c r="J1510" s="478"/>
      <c r="K1510" s="478"/>
      <c r="L1510" s="478"/>
      <c r="M1510" s="478"/>
      <c r="N1510" s="2355"/>
    </row>
    <row r="1511" spans="1:17">
      <c r="A1511" s="2701"/>
      <c r="B1511" s="478" t="s">
        <v>1750</v>
      </c>
      <c r="C1511" s="478" t="s">
        <v>3497</v>
      </c>
      <c r="E1511" s="478"/>
      <c r="F1511" s="478"/>
      <c r="G1511" s="478"/>
      <c r="H1511" s="478"/>
      <c r="I1511" s="478"/>
      <c r="J1511" s="478"/>
      <c r="K1511" s="478"/>
      <c r="L1511" s="478"/>
      <c r="M1511" s="478"/>
      <c r="N1511" s="2355"/>
      <c r="O1511" s="2703" t="s">
        <v>1750</v>
      </c>
      <c r="P1511" s="2668" t="str">
        <f>'Part VIII-Threshold Criteria'!P417</f>
        <v>No</v>
      </c>
      <c r="Q1511" s="2668">
        <f>'Part VIII-Threshold Criteria'!Q417</f>
        <v>0</v>
      </c>
    </row>
    <row r="1512" spans="1:17">
      <c r="A1512" s="2701"/>
      <c r="B1512" s="478" t="s">
        <v>3594</v>
      </c>
      <c r="C1512" s="478" t="s">
        <v>3595</v>
      </c>
      <c r="E1512" s="478"/>
      <c r="F1512" s="478"/>
      <c r="G1512" s="478"/>
      <c r="H1512" s="478"/>
      <c r="I1512" s="478"/>
      <c r="J1512" s="478"/>
      <c r="K1512" s="478"/>
      <c r="L1512" s="478"/>
      <c r="M1512" s="478"/>
      <c r="N1512" s="2355"/>
      <c r="O1512" s="2703" t="s">
        <v>1751</v>
      </c>
      <c r="P1512" s="2668" t="str">
        <f>'Part VIII-Threshold Criteria'!P418</f>
        <v>Yes</v>
      </c>
      <c r="Q1512" s="2668">
        <f>'Part VIII-Threshold Criteria'!Q418</f>
        <v>0</v>
      </c>
    </row>
    <row r="1513" spans="1:17">
      <c r="A1513" s="2701" t="s">
        <v>756</v>
      </c>
      <c r="B1513" s="478" t="s">
        <v>2216</v>
      </c>
      <c r="C1513" s="478"/>
      <c r="E1513" s="478"/>
      <c r="F1513" s="478"/>
      <c r="G1513" s="478"/>
      <c r="H1513" s="478"/>
      <c r="I1513" s="478"/>
      <c r="J1513" s="478"/>
      <c r="K1513" s="478"/>
      <c r="L1513" s="478"/>
      <c r="M1513" s="478"/>
      <c r="N1513" s="478"/>
      <c r="O1513" s="2703" t="s">
        <v>756</v>
      </c>
      <c r="P1513" s="2668" t="str">
        <f>'Part VIII-Threshold Criteria'!P419</f>
        <v>Yes</v>
      </c>
      <c r="Q1513" s="2668">
        <f>'Part VIII-Threshold Criteria'!Q419</f>
        <v>0</v>
      </c>
    </row>
    <row r="1514" spans="1:17">
      <c r="A1514" s="2701" t="s">
        <v>2130</v>
      </c>
      <c r="B1514" s="2598" t="s">
        <v>2832</v>
      </c>
      <c r="C1514" s="2598"/>
      <c r="E1514" s="2598"/>
      <c r="F1514" s="2598"/>
      <c r="G1514" s="2598"/>
      <c r="H1514" s="2598"/>
      <c r="I1514" s="2598"/>
      <c r="J1514" s="2598"/>
      <c r="K1514" s="2598"/>
      <c r="L1514" s="2598"/>
      <c r="M1514" s="2598"/>
      <c r="N1514" s="2355"/>
      <c r="O1514" s="2703"/>
      <c r="P1514" s="2355"/>
      <c r="Q1514" s="2355"/>
    </row>
    <row r="1515" spans="1:17">
      <c r="A1515" s="2701"/>
      <c r="B1515" s="478" t="s">
        <v>2217</v>
      </c>
      <c r="C1515" s="478"/>
      <c r="E1515" s="2355"/>
      <c r="F1515" s="2598"/>
      <c r="G1515" s="2562" t="str">
        <f>'Part VIII-Threshold Criteria'!G421</f>
        <v>None</v>
      </c>
      <c r="H1515" s="2557">
        <f>'Part VIII-Threshold Criteria'!H421</f>
        <v>0</v>
      </c>
      <c r="J1515" s="478" t="s">
        <v>2220</v>
      </c>
      <c r="K1515" s="2598"/>
      <c r="N1515" s="2562" t="str">
        <f>'Part VIII-Threshold Criteria'!N421</f>
        <v>None</v>
      </c>
      <c r="O1515" s="2557">
        <f>'Part VIII-Threshold Criteria'!O421</f>
        <v>0</v>
      </c>
    </row>
    <row r="1516" spans="1:17">
      <c r="A1516" s="2701"/>
      <c r="B1516" s="478" t="s">
        <v>2218</v>
      </c>
      <c r="C1516" s="478"/>
      <c r="E1516" s="2355"/>
      <c r="F1516" s="2598"/>
      <c r="G1516" s="2562">
        <f>'Part VIII-Threshold Criteria'!G422</f>
        <v>15</v>
      </c>
      <c r="H1516" s="2557">
        <f>'Part VIII-Threshold Criteria'!H422</f>
        <v>0</v>
      </c>
      <c r="J1516" s="478" t="s">
        <v>2221</v>
      </c>
      <c r="K1516" s="2598"/>
      <c r="N1516" s="2562" t="str">
        <f>'Part VIII-Threshold Criteria'!N422</f>
        <v>None</v>
      </c>
      <c r="O1516" s="2557">
        <f>'Part VIII-Threshold Criteria'!O422</f>
        <v>0</v>
      </c>
    </row>
    <row r="1517" spans="1:17">
      <c r="A1517" s="2701"/>
      <c r="B1517" s="478" t="s">
        <v>2219</v>
      </c>
      <c r="C1517" s="478"/>
      <c r="E1517" s="2355"/>
      <c r="F1517" s="2598"/>
      <c r="G1517" s="2562">
        <f>'Part VIII-Threshold Criteria'!G423</f>
        <v>1</v>
      </c>
      <c r="H1517" s="2557">
        <f>'Part VIII-Threshold Criteria'!H423</f>
        <v>0</v>
      </c>
      <c r="K1517" s="2598"/>
      <c r="L1517" s="2598"/>
      <c r="M1517" s="2598"/>
      <c r="N1517" s="2355"/>
      <c r="O1517" s="2703"/>
    </row>
    <row r="1518" spans="1:17">
      <c r="A1518" s="2701" t="s">
        <v>1747</v>
      </c>
      <c r="B1518" s="2598" t="s">
        <v>2400</v>
      </c>
      <c r="C1518" s="2598"/>
      <c r="E1518" s="2598"/>
      <c r="F1518" s="2598"/>
      <c r="G1518" s="2598"/>
      <c r="J1518" s="2355"/>
      <c r="K1518" s="2598"/>
      <c r="L1518" s="2598"/>
      <c r="M1518" s="2598"/>
      <c r="N1518" s="2355"/>
      <c r="O1518" s="2703"/>
      <c r="P1518" s="2703"/>
      <c r="Q1518" s="2703"/>
    </row>
    <row r="1519" spans="1:17">
      <c r="A1519" s="2355"/>
      <c r="B1519" s="1156" t="s">
        <v>2222</v>
      </c>
      <c r="C1519" s="2598"/>
      <c r="E1519" s="2598"/>
      <c r="F1519" s="2598"/>
      <c r="G1519" s="2668" t="str">
        <f>'Part VIII-Threshold Criteria'!G425</f>
        <v>Yes</v>
      </c>
      <c r="H1519" s="2668">
        <f>'Part VIII-Threshold Criteria'!H425</f>
        <v>0</v>
      </c>
      <c r="J1519" s="1156" t="s">
        <v>1192</v>
      </c>
      <c r="K1519" s="2598"/>
      <c r="N1519" s="2668" t="str">
        <f>'Part VIII-Threshold Criteria'!N425</f>
        <v>Yes</v>
      </c>
      <c r="O1519" s="2668">
        <f>'Part VIII-Threshold Criteria'!O425</f>
        <v>0</v>
      </c>
    </row>
    <row r="1520" spans="1:17">
      <c r="A1520" s="2355"/>
      <c r="B1520" s="1156" t="s">
        <v>1191</v>
      </c>
      <c r="C1520" s="2598"/>
      <c r="E1520" s="2598"/>
      <c r="F1520" s="2598"/>
      <c r="G1520" s="2668" t="str">
        <f>'Part VIII-Threshold Criteria'!G426</f>
        <v>Yes</v>
      </c>
      <c r="H1520" s="2668">
        <f>'Part VIII-Threshold Criteria'!H426</f>
        <v>0</v>
      </c>
      <c r="J1520" s="1156" t="s">
        <v>2268</v>
      </c>
      <c r="N1520" s="2620">
        <f>'Part VIII-Threshold Criteria'!N426</f>
        <v>0</v>
      </c>
      <c r="O1520" s="2620">
        <f>'Part VIII-Threshold Criteria'!O426</f>
        <v>0</v>
      </c>
      <c r="P1520" s="2620">
        <f>'Part VIII-Threshold Criteria'!P426</f>
        <v>0</v>
      </c>
      <c r="Q1520" s="2620">
        <f>'Part VIII-Threshold Criteria'!Q426</f>
        <v>0</v>
      </c>
    </row>
    <row r="1521" spans="1:17">
      <c r="B1521" s="2599" t="s">
        <v>3783</v>
      </c>
      <c r="D1521" s="2599"/>
      <c r="E1521" s="2599"/>
      <c r="F1521" s="2599"/>
      <c r="G1521" s="2599"/>
      <c r="H1521" s="2598"/>
      <c r="I1521" s="2660"/>
      <c r="J1521" s="2660"/>
      <c r="K1521" s="2660"/>
      <c r="P1521" s="2562"/>
      <c r="Q1521" s="2562"/>
    </row>
    <row r="1522" spans="1:17" ht="236.25">
      <c r="A1522" s="2662" t="str">
        <f>'Part VIII-Threshold Criteria'!A428</f>
        <v>A relocation specialist provided assistance with relocation.  Since HOME loan regulations are in place at the present time, we anticipate no rent increase now and everyone will return to their apartment.</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1879</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4166</v>
      </c>
      <c r="B1526" s="2544" t="s">
        <v>2833</v>
      </c>
      <c r="C1526" s="2544"/>
      <c r="D1526" s="2659"/>
      <c r="E1526" s="2665"/>
      <c r="F1526" s="2665"/>
      <c r="G1526" s="2665"/>
      <c r="H1526" s="2665"/>
      <c r="O1526" s="2661" t="s">
        <v>1880</v>
      </c>
      <c r="P1526" s="2570">
        <f>'Part VIII-Threshold Criteria'!P432</f>
        <v>0</v>
      </c>
      <c r="Q1526" s="2570">
        <f>'Part VIII-Threshold Criteria'!Q432</f>
        <v>0</v>
      </c>
    </row>
    <row r="1527" spans="1:17">
      <c r="B1527" s="2659" t="s">
        <v>3972</v>
      </c>
      <c r="C1527" s="2544"/>
      <c r="D1527" s="2659"/>
      <c r="E1527" s="2665"/>
      <c r="F1527" s="2665"/>
      <c r="G1527" s="2665"/>
      <c r="H1527" s="2665"/>
    </row>
    <row r="1528" spans="1:17" ht="12.75" customHeight="1">
      <c r="A1528" s="2699" t="s">
        <v>1998</v>
      </c>
      <c r="B1528" s="2662" t="s">
        <v>3975</v>
      </c>
      <c r="C1528" s="2662"/>
      <c r="D1528" s="2662"/>
      <c r="E1528" s="2662"/>
      <c r="F1528" s="2662"/>
      <c r="G1528" s="2662"/>
      <c r="H1528" s="2662"/>
      <c r="I1528" s="2662"/>
      <c r="J1528" s="2662"/>
      <c r="K1528" s="2662"/>
      <c r="L1528" s="2662"/>
      <c r="M1528" s="2662"/>
      <c r="N1528" s="2662"/>
      <c r="O1528" s="2713" t="s">
        <v>1998</v>
      </c>
      <c r="P1528" s="2714" t="str">
        <f>'Part VIII-Threshold Criteria'!P434</f>
        <v>Agree</v>
      </c>
      <c r="Q1528" s="2714">
        <f>'Part VIII-Threshold Criteria'!Q434</f>
        <v>0</v>
      </c>
    </row>
    <row r="1529" spans="1:17" ht="12.75" customHeight="1">
      <c r="A1529" s="2699" t="s">
        <v>2000</v>
      </c>
      <c r="B1529" s="2662" t="s">
        <v>3973</v>
      </c>
      <c r="C1529" s="2662"/>
      <c r="D1529" s="2662"/>
      <c r="E1529" s="2662"/>
      <c r="F1529" s="2662"/>
      <c r="G1529" s="2662"/>
      <c r="H1529" s="2662"/>
      <c r="I1529" s="2662"/>
      <c r="J1529" s="2662"/>
      <c r="K1529" s="2662"/>
      <c r="L1529" s="2662"/>
      <c r="M1529" s="2662"/>
      <c r="N1529" s="2662"/>
      <c r="O1529" s="2713" t="s">
        <v>2000</v>
      </c>
      <c r="P1529" s="2714" t="str">
        <f>'Part VIII-Threshold Criteria'!P435</f>
        <v>Agree</v>
      </c>
      <c r="Q1529" s="2714">
        <f>'Part VIII-Threshold Criteria'!Q435</f>
        <v>0</v>
      </c>
    </row>
    <row r="1530" spans="1:17" ht="12.75" customHeight="1">
      <c r="A1530" s="2679"/>
      <c r="B1530" s="2662" t="s">
        <v>3974</v>
      </c>
      <c r="C1530" s="2662"/>
      <c r="D1530" s="2662"/>
      <c r="E1530" s="2662"/>
      <c r="F1530" s="2662"/>
      <c r="G1530" s="2662"/>
      <c r="H1530" s="2662"/>
      <c r="I1530" s="2662"/>
      <c r="J1530" s="2662"/>
      <c r="K1530" s="2662"/>
      <c r="L1530" s="2662"/>
      <c r="M1530" s="2662"/>
      <c r="N1530" s="2662"/>
      <c r="O1530" s="2713" t="s">
        <v>1749</v>
      </c>
      <c r="P1530" s="2714" t="str">
        <f>'Part VIII-Threshold Criteria'!P436</f>
        <v>Agree</v>
      </c>
      <c r="Q1530" s="2714">
        <f>'Part VIII-Threshold Criteria'!Q436</f>
        <v>0</v>
      </c>
    </row>
    <row r="1531" spans="1:17">
      <c r="A1531" s="2679"/>
      <c r="B1531" s="2687" t="s">
        <v>3976</v>
      </c>
      <c r="C1531" s="2679"/>
      <c r="D1531" s="2662"/>
      <c r="E1531" s="2662"/>
      <c r="F1531" s="2662"/>
      <c r="G1531" s="2662"/>
      <c r="H1531" s="2662"/>
      <c r="I1531" s="2662"/>
      <c r="J1531" s="2662"/>
      <c r="K1531" s="2662"/>
      <c r="L1531" s="2662"/>
      <c r="M1531" s="2662"/>
      <c r="N1531" s="2662"/>
      <c r="O1531" s="2713" t="s">
        <v>1750</v>
      </c>
      <c r="P1531" s="2714" t="str">
        <f>'Part VIII-Threshold Criteria'!P437</f>
        <v>Agree</v>
      </c>
      <c r="Q1531" s="2714">
        <f>'Part VIII-Threshold Criteria'!Q437</f>
        <v>0</v>
      </c>
    </row>
    <row r="1532" spans="1:17" ht="12.75" customHeight="1">
      <c r="A1532" s="2679"/>
      <c r="B1532" s="2662" t="s">
        <v>3977</v>
      </c>
      <c r="C1532" s="2662"/>
      <c r="D1532" s="2662"/>
      <c r="E1532" s="2662"/>
      <c r="F1532" s="2662"/>
      <c r="G1532" s="2662"/>
      <c r="H1532" s="2662"/>
      <c r="I1532" s="2662"/>
      <c r="J1532" s="2662"/>
      <c r="K1532" s="2662"/>
      <c r="L1532" s="2662"/>
      <c r="M1532" s="2662"/>
      <c r="N1532" s="2662"/>
      <c r="O1532" s="2713" t="s">
        <v>1751</v>
      </c>
      <c r="P1532" s="2714" t="str">
        <f>'Part VIII-Threshold Criteria'!P438</f>
        <v>Agree</v>
      </c>
      <c r="Q1532" s="2714">
        <f>'Part VIII-Threshold Criteria'!Q438</f>
        <v>0</v>
      </c>
    </row>
    <row r="1533" spans="1:17" ht="12.75" customHeight="1">
      <c r="A1533" s="2679"/>
      <c r="B1533" s="2662" t="s">
        <v>3978</v>
      </c>
      <c r="C1533" s="2662"/>
      <c r="D1533" s="2662"/>
      <c r="E1533" s="2662"/>
      <c r="F1533" s="2662"/>
      <c r="G1533" s="2662"/>
      <c r="H1533" s="2662"/>
      <c r="I1533" s="2662"/>
      <c r="J1533" s="2662"/>
      <c r="K1533" s="2662"/>
      <c r="L1533" s="2662"/>
      <c r="M1533" s="2662"/>
      <c r="N1533" s="2662"/>
      <c r="O1533" s="2713" t="s">
        <v>2380</v>
      </c>
      <c r="P1533" s="2714" t="str">
        <f>'Part VIII-Threshold Criteria'!P439</f>
        <v>Agree</v>
      </c>
      <c r="Q1533" s="2714">
        <f>'Part VIII-Threshold Criteria'!Q439</f>
        <v>0</v>
      </c>
    </row>
    <row r="1534" spans="1:17" ht="12.75" customHeight="1">
      <c r="A1534" s="2699" t="s">
        <v>756</v>
      </c>
      <c r="B1534" s="2662" t="s">
        <v>3979</v>
      </c>
      <c r="C1534" s="2662"/>
      <c r="D1534" s="2662"/>
      <c r="E1534" s="2662"/>
      <c r="F1534" s="2662"/>
      <c r="G1534" s="2662"/>
      <c r="H1534" s="2662"/>
      <c r="I1534" s="2662"/>
      <c r="J1534" s="2662"/>
      <c r="K1534" s="2662"/>
      <c r="L1534" s="2662"/>
      <c r="M1534" s="2662"/>
      <c r="N1534" s="2662"/>
      <c r="O1534" s="2713" t="s">
        <v>756</v>
      </c>
      <c r="P1534" s="2714" t="str">
        <f>'Part VIII-Threshold Criteria'!P440</f>
        <v>Agree</v>
      </c>
      <c r="Q1534" s="2714">
        <f>'Part VIII-Threshold Criteria'!Q440</f>
        <v>0</v>
      </c>
    </row>
    <row r="1535" spans="1:17" ht="12.75" customHeight="1">
      <c r="A1535" s="2699" t="s">
        <v>2130</v>
      </c>
      <c r="B1535" s="2662" t="s">
        <v>3980</v>
      </c>
      <c r="C1535" s="2662"/>
      <c r="D1535" s="2662"/>
      <c r="E1535" s="2662"/>
      <c r="F1535" s="2662"/>
      <c r="G1535" s="2662"/>
      <c r="H1535" s="2662"/>
      <c r="I1535" s="2662"/>
      <c r="J1535" s="2662"/>
      <c r="K1535" s="2662"/>
      <c r="L1535" s="2662"/>
      <c r="M1535" s="2662"/>
      <c r="N1535" s="2662"/>
      <c r="O1535" s="2713" t="s">
        <v>2130</v>
      </c>
      <c r="P1535" s="2714" t="str">
        <f>'Part VIII-Threshold Criteria'!P441</f>
        <v>Agree</v>
      </c>
      <c r="Q1535" s="2714">
        <f>'Part VIII-Threshold Criteria'!Q441</f>
        <v>0</v>
      </c>
    </row>
    <row r="1536" spans="1:17" ht="12.75" customHeight="1">
      <c r="A1536" s="2699" t="s">
        <v>1747</v>
      </c>
      <c r="B1536" s="2662" t="s">
        <v>3981</v>
      </c>
      <c r="C1536" s="2662"/>
      <c r="D1536" s="2662"/>
      <c r="E1536" s="2662"/>
      <c r="F1536" s="2662"/>
      <c r="G1536" s="2662"/>
      <c r="H1536" s="2662"/>
      <c r="I1536" s="2662"/>
      <c r="J1536" s="2662"/>
      <c r="K1536" s="2662"/>
      <c r="L1536" s="2662"/>
      <c r="M1536" s="2662"/>
      <c r="N1536" s="2662"/>
      <c r="O1536" s="2713" t="s">
        <v>1747</v>
      </c>
      <c r="P1536" s="2714" t="str">
        <f>'Part VIII-Threshold Criteria'!P442</f>
        <v>Agree</v>
      </c>
      <c r="Q1536" s="2714">
        <f>'Part VIII-Threshold Criteria'!Q442</f>
        <v>0</v>
      </c>
    </row>
    <row r="1537" spans="1:17" ht="12.75" customHeight="1">
      <c r="A1537" s="2699" t="s">
        <v>1748</v>
      </c>
      <c r="B1537" s="2662" t="s">
        <v>3499</v>
      </c>
      <c r="C1537" s="2662"/>
      <c r="D1537" s="2662"/>
      <c r="E1537" s="2662"/>
      <c r="F1537" s="2662"/>
      <c r="G1537" s="2662"/>
      <c r="H1537" s="2662"/>
      <c r="I1537" s="2662"/>
      <c r="J1537" s="2662"/>
      <c r="K1537" s="2662"/>
      <c r="L1537" s="2662"/>
      <c r="M1537" s="2662"/>
      <c r="N1537" s="2662"/>
      <c r="O1537" s="2713" t="s">
        <v>1748</v>
      </c>
      <c r="P1537" s="2714" t="str">
        <f>'Part VIII-Threshold Criteria'!P443</f>
        <v>Agree</v>
      </c>
      <c r="Q1537" s="2714">
        <f>'Part VIII-Threshold Criteria'!Q443</f>
        <v>0</v>
      </c>
    </row>
    <row r="1538" spans="1:17">
      <c r="B1538" s="2599" t="s">
        <v>3783</v>
      </c>
      <c r="D1538" s="2599"/>
      <c r="E1538" s="2599"/>
      <c r="F1538" s="2599"/>
      <c r="G1538" s="2599"/>
      <c r="H1538" s="2598"/>
      <c r="I1538" s="2660"/>
      <c r="J1538" s="2660"/>
      <c r="K1538" s="2660"/>
      <c r="L1538" s="2562"/>
      <c r="M1538" s="2562"/>
      <c r="N1538" s="2562"/>
      <c r="O1538" s="2562"/>
      <c r="P1538" s="2562"/>
      <c r="Q1538" s="2562"/>
    </row>
    <row r="1539" spans="1:17" ht="225">
      <c r="A1539" s="2662" t="str">
        <f>'Part VIII-Threshold Criteria'!A445</f>
        <v>All outreach efforts are to be achieved to affirmatively market the units including race and persons with disability, homeless and incorporate use of community service providers in advance.</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1879</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4167</v>
      </c>
      <c r="B1543" s="2544" t="s">
        <v>2686</v>
      </c>
      <c r="C1543" s="2544"/>
      <c r="D1543" s="2659"/>
      <c r="E1543" s="2665"/>
      <c r="F1543" s="2665"/>
      <c r="G1543" s="2665"/>
      <c r="H1543" s="2665"/>
      <c r="I1543" s="2665"/>
      <c r="J1543" s="2665"/>
      <c r="K1543" s="2665"/>
      <c r="L1543" s="2665"/>
      <c r="M1543" s="2665"/>
      <c r="O1543" s="2661" t="s">
        <v>1880</v>
      </c>
      <c r="P1543" s="2570">
        <f>'Part VIII-Threshold Criteria'!P449</f>
        <v>0</v>
      </c>
      <c r="Q1543" s="2570">
        <f>'Part VIII-Threshold Criteria'!Q449</f>
        <v>0</v>
      </c>
    </row>
    <row r="1544" spans="1:17">
      <c r="A1544" s="2545"/>
      <c r="B1544" s="2599" t="s">
        <v>3783</v>
      </c>
      <c r="D1544" s="2599"/>
      <c r="E1544" s="2599"/>
      <c r="F1544" s="2599"/>
      <c r="G1544" s="2599"/>
      <c r="H1544" s="2598"/>
      <c r="I1544" s="2660"/>
      <c r="J1544" s="2660"/>
      <c r="K1544" s="2660"/>
      <c r="L1544" s="2562"/>
      <c r="M1544" s="2562"/>
      <c r="N1544" s="2562"/>
      <c r="O1544" s="2562"/>
      <c r="P1544" s="2562"/>
      <c r="Q1544" s="2562"/>
    </row>
    <row r="1545" spans="1:17" ht="135">
      <c r="A1545" s="2662" t="str">
        <f>'Part VIII-Threshold Criteria'!A451</f>
        <v>Applicant will use a fairly low amount of tax credits per unit of $6,146 per unit. And will pay off a HOME loan of $824,975.</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1879</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2018-032 Hillcrest Apartments,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4788</v>
      </c>
      <c r="B1557" s="2587"/>
      <c r="C1557" s="2587"/>
      <c r="D1557" s="2587"/>
      <c r="E1557" s="2587"/>
      <c r="F1557" s="2587"/>
      <c r="G1557" s="2587"/>
      <c r="H1557" s="2587"/>
      <c r="I1557" s="2587"/>
      <c r="J1557" s="2587"/>
      <c r="K1557" s="2587"/>
      <c r="L1557" s="2587"/>
      <c r="M1557" s="2568" t="s">
        <v>2234</v>
      </c>
      <c r="N1557" s="2554"/>
      <c r="O1557" s="2563" t="s">
        <v>2233</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2234</v>
      </c>
      <c r="P1558" s="2563" t="s">
        <v>2234</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1237</v>
      </c>
      <c r="M1560" s="2747">
        <f>M1995</f>
        <v>95</v>
      </c>
      <c r="N1560" s="2623"/>
      <c r="O1560" s="2747">
        <f>O1995</f>
        <v>36</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621</v>
      </c>
      <c r="B1562" s="2750" t="s">
        <v>2801</v>
      </c>
      <c r="C1562" s="2544"/>
      <c r="D1562" s="2544"/>
      <c r="E1562" s="2544"/>
      <c r="F1562" s="2660"/>
      <c r="G1562" s="2355"/>
      <c r="H1562" s="2626" t="s">
        <v>4789</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1998</v>
      </c>
      <c r="B1564" s="2570" t="s">
        <v>1881</v>
      </c>
      <c r="C1564" s="2355"/>
      <c r="D1564" s="2556"/>
      <c r="E1564" s="2556"/>
      <c r="F1564" s="2660"/>
      <c r="G1564" s="2355"/>
      <c r="H1564" s="2357" t="s">
        <v>3675</v>
      </c>
      <c r="I1564" s="2355"/>
      <c r="J1564" s="2355"/>
      <c r="K1564" s="2355"/>
      <c r="L1564" s="2355"/>
      <c r="M1564" s="2554"/>
      <c r="N1564" s="2703" t="s">
        <v>1998</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2128</v>
      </c>
      <c r="D1565" s="2556"/>
      <c r="E1565" s="2556"/>
      <c r="F1565" s="2660"/>
      <c r="G1565" s="2748"/>
      <c r="H1565" s="2357" t="s">
        <v>2782</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2000</v>
      </c>
      <c r="B1566" s="2570" t="s">
        <v>733</v>
      </c>
      <c r="C1566" s="2355"/>
      <c r="D1566" s="2556"/>
      <c r="E1566" s="2556"/>
      <c r="F1566" s="2660"/>
      <c r="G1566" s="2355"/>
      <c r="H1566" s="2357" t="s">
        <v>4790</v>
      </c>
      <c r="I1566" s="2355"/>
      <c r="J1566" s="2626"/>
      <c r="K1566" s="2355"/>
      <c r="L1566" s="2355"/>
      <c r="M1566" s="2554"/>
      <c r="N1566" s="2703" t="s">
        <v>2000</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4198</v>
      </c>
      <c r="D1567" s="478"/>
      <c r="E1567" s="478"/>
      <c r="F1567" s="478"/>
      <c r="G1567" s="2626"/>
      <c r="H1567" s="2357" t="s">
        <v>4790</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3875</v>
      </c>
      <c r="B1568" s="2587"/>
      <c r="C1568" s="2587"/>
      <c r="D1568" s="2587"/>
      <c r="E1568" s="2587"/>
      <c r="F1568" s="2660" t="s">
        <v>4201</v>
      </c>
      <c r="G1568" s="2355"/>
      <c r="H1568" s="2355"/>
      <c r="I1568" s="2355"/>
      <c r="J1568" s="2660" t="s">
        <v>4201</v>
      </c>
      <c r="K1568" s="2660"/>
      <c r="L1568" s="2355"/>
      <c r="M1568" s="2355"/>
      <c r="N1568" s="2355"/>
      <c r="O1568" s="478" t="s">
        <v>4201</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3609</v>
      </c>
      <c r="H1569" s="2704"/>
      <c r="I1569" s="2704"/>
      <c r="J1569" s="2563">
        <f>SUM(J1570:J1581)</f>
        <v>0</v>
      </c>
      <c r="K1569" s="2659" t="s">
        <v>3393</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1745</v>
      </c>
      <c r="K1570" s="2433">
        <f>'Part IX A-Scoring Criteria'!K16</f>
        <v>1</v>
      </c>
      <c r="L1570" s="2433">
        <f>'Part IX A-Scoring Criteria'!L16</f>
        <v>0</v>
      </c>
      <c r="M1570" s="2433">
        <f>'Part IX A-Scoring Criteria'!M16</f>
        <v>0</v>
      </c>
      <c r="N1570" s="2433">
        <f>'Part IX A-Scoring Criteria'!N16</f>
        <v>0</v>
      </c>
      <c r="O1570" s="2737" t="s">
        <v>1745</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2924</v>
      </c>
      <c r="K1572" s="2433">
        <f>'Part IX A-Scoring Criteria'!K18</f>
        <v>3</v>
      </c>
      <c r="L1572" s="2433">
        <f>'Part IX A-Scoring Criteria'!L18</f>
        <v>0</v>
      </c>
      <c r="M1572" s="2433">
        <f>'Part IX A-Scoring Criteria'!M18</f>
        <v>0</v>
      </c>
      <c r="N1572" s="2433">
        <f>'Part IX A-Scoring Criteria'!N18</f>
        <v>0</v>
      </c>
      <c r="O1572" s="2737" t="s">
        <v>2924</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2924</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3610</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3611</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3612</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3613</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4791</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4202</v>
      </c>
      <c r="B1583" s="478" t="s">
        <v>4203</v>
      </c>
      <c r="C1583" s="478"/>
      <c r="D1583" s="478"/>
      <c r="E1583" s="2474" t="s">
        <v>4230</v>
      </c>
      <c r="F1583" s="478" t="s">
        <v>4229</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99">
      <c r="A1584" s="2762" t="s">
        <v>749</v>
      </c>
      <c r="B1584" s="2763" t="s">
        <v>4204</v>
      </c>
      <c r="C1584" s="2433"/>
      <c r="D1584" s="2433"/>
      <c r="E1584" s="2764">
        <f>'Part IX A-Scoring Criteria'!E30</f>
        <v>10</v>
      </c>
      <c r="F1584" s="2667" t="str">
        <f>'Part IX A-Scoring Criteria'!F30</f>
        <v>The number of desirable activities are substanially more than the minimum needed for points.  There are no undesirable activities.</v>
      </c>
      <c r="G1584" s="2667"/>
      <c r="H1584" s="2667"/>
      <c r="I1584" s="2667"/>
      <c r="J1584" s="2667"/>
      <c r="K1584" s="2667"/>
      <c r="L1584" s="2667"/>
      <c r="M1584" s="2667"/>
      <c r="N1584" s="2667"/>
      <c r="O1584" s="2704" t="s">
        <v>1745</v>
      </c>
      <c r="P1584" s="2704"/>
      <c r="Q1584" s="2756"/>
      <c r="R1584" s="2753"/>
      <c r="S1584" s="2355"/>
      <c r="T1584" s="2355"/>
      <c r="U1584" s="2355"/>
      <c r="V1584" s="2355"/>
      <c r="W1584" s="2355"/>
      <c r="X1584" s="2355"/>
      <c r="Y1584" s="2355"/>
      <c r="Z1584" s="2355"/>
    </row>
    <row r="1585" spans="1:26" ht="12.75" customHeight="1">
      <c r="A1585" s="2762" t="s">
        <v>1806</v>
      </c>
      <c r="B1585" s="2763" t="s">
        <v>4205</v>
      </c>
      <c r="C1585" s="2433"/>
      <c r="D1585" s="2433"/>
      <c r="E1585" s="2764">
        <f>'Part IX A-Scoring Criteria'!E31</f>
        <v>2</v>
      </c>
      <c r="F1585" s="2667" t="str">
        <f>'Part IX A-Scoring Criteria'!F31</f>
        <v>This is not a gut rehab and the earthcraft programs cannot be implemented on this rehab.</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779</v>
      </c>
      <c r="B1586" s="2763" t="s">
        <v>4206</v>
      </c>
      <c r="C1586" s="2433"/>
      <c r="D1586" s="2433"/>
      <c r="E1586" s="2764">
        <f>'Part IX A-Scoring Criteria'!E32</f>
        <v>0</v>
      </c>
      <c r="F1586" s="2667" t="str">
        <f>'Part IX A-Scoring Criteria'!F32</f>
        <v>We checked all City of Dublin schools and none of them meet the criteria for quality education.  Almost all the schools had scores less than 70 for the entire three years and some as low as 50.</v>
      </c>
      <c r="G1586" s="2667"/>
      <c r="H1586" s="2667"/>
      <c r="I1586" s="2667"/>
      <c r="J1586" s="2667"/>
      <c r="K1586" s="2667"/>
      <c r="L1586" s="2667"/>
      <c r="M1586" s="2667"/>
      <c r="N1586" s="2667"/>
      <c r="O1586" s="2704" t="s">
        <v>2924</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4207</v>
      </c>
      <c r="C1587" s="2433"/>
      <c r="D1587" s="2433"/>
      <c r="E1587" s="2764">
        <f>'Part IX A-Scoring Criteria'!E33</f>
        <v>0</v>
      </c>
      <c r="F1587" s="2667" t="str">
        <f>'Part IX A-Scoring Criteria'!F33</f>
        <v>The site is in Census Tract 9504 which is a QCT but there is no revitalization plan in effect.</v>
      </c>
      <c r="G1587" s="2667"/>
      <c r="H1587" s="2667"/>
      <c r="I1587" s="2667"/>
      <c r="J1587" s="2667"/>
      <c r="K1587" s="2667"/>
      <c r="L1587" s="2667"/>
      <c r="M1587" s="2667"/>
      <c r="N1587" s="2667"/>
      <c r="O1587" s="2704" t="s">
        <v>2924</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4208</v>
      </c>
      <c r="C1588" s="2433"/>
      <c r="D1588" s="2433"/>
      <c r="E1588" s="2765" t="str">
        <f>'Part IX A-Scoring Criteria'!E34</f>
        <v>n/a</v>
      </c>
      <c r="F1588" s="2667" t="str">
        <f>'Part IX A-Scoring Criteria'!F34</f>
        <v>No Community Transformation plan was used.</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3821</v>
      </c>
      <c r="C1589" s="2433"/>
      <c r="D1589" s="2433"/>
      <c r="E1589" s="2764">
        <f>'Part IX A-Scoring Criteria'!E35</f>
        <v>0</v>
      </c>
      <c r="F1589" s="2667" t="str">
        <f>'Part IX A-Scoring Criteria'!F35</f>
        <v>Not a HUD Choice Nighborhood nor purpose built Community</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2266</v>
      </c>
      <c r="B1590" s="2763" t="s">
        <v>4209</v>
      </c>
      <c r="C1590" s="2433"/>
      <c r="D1590" s="2433"/>
      <c r="E1590" s="2765">
        <f>'Part IX A-Scoring Criteria'!E36</f>
        <v>0</v>
      </c>
      <c r="F1590" s="2667" t="str">
        <f>'Part IX A-Scoring Criteria'!F36</f>
        <v>The priority Point will be claimed on The Village at Chickamauga II application and not on this application.</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4519</v>
      </c>
      <c r="B1591" s="2763" t="s">
        <v>4520</v>
      </c>
      <c r="C1591" s="2433"/>
      <c r="D1591" s="2433"/>
      <c r="E1591" s="2765">
        <f>'Part IX A-Scoring Criteria'!E37</f>
        <v>3</v>
      </c>
      <c r="F1591" s="2667" t="str">
        <f>'Part IX A-Scoring Criteria'!F37</f>
        <v>This is not a phased development and the last LIHTC project was funded in 2008, which was 2008-019</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4155</v>
      </c>
      <c r="B1592" s="2763" t="s">
        <v>4210</v>
      </c>
      <c r="C1592" s="2433"/>
      <c r="D1592" s="2433"/>
      <c r="E1592" s="2764">
        <f>'Part IX A-Scoring Criteria'!E38</f>
        <v>0</v>
      </c>
      <c r="F1592" s="2667" t="str">
        <f>'Part IX A-Scoring Criteria'!F38</f>
        <v>Dublin is not a GICH community nor designated military zone.</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4156</v>
      </c>
      <c r="B1593" s="2763" t="s">
        <v>4211</v>
      </c>
      <c r="C1593" s="2433"/>
      <c r="D1593" s="2433"/>
      <c r="E1593" s="2764">
        <f>'Part IX A-Scoring Criteria'!E39</f>
        <v>0</v>
      </c>
      <c r="F1593" s="2667" t="str">
        <f>'Part IX A-Scoring Criteria'!F39</f>
        <v>There is no favorable financing on this project.</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4154</v>
      </c>
      <c r="B1594" s="2763" t="s">
        <v>4212</v>
      </c>
      <c r="C1594" s="2433"/>
      <c r="D1594" s="2433"/>
      <c r="E1594" s="2764">
        <f>'Part IX A-Scoring Criteria'!E40</f>
        <v>0</v>
      </c>
      <c r="F1594" s="2667" t="str">
        <f>'Part IX A-Scoring Criteria'!F40</f>
        <v>No points are claimed under integrated supportative housing.  The project is already 100% filled and all tenants are expected to continue to live in the complex after rehab.</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4157</v>
      </c>
      <c r="B1595" s="2763" t="s">
        <v>4213</v>
      </c>
      <c r="C1595" s="2433"/>
      <c r="D1595" s="2433"/>
      <c r="E1595" s="2765">
        <f>'Part IX A-Scoring Criteria'!E41</f>
        <v>0</v>
      </c>
      <c r="F1595" s="2667" t="str">
        <f>'Part IX A-Scoring Criteria'!F41</f>
        <v>This is not a historic preservation project.</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747</v>
      </c>
      <c r="B1597" s="2750" t="s">
        <v>3614</v>
      </c>
      <c r="C1597" s="2766"/>
      <c r="D1597" s="2766"/>
      <c r="E1597" s="478"/>
      <c r="F1597" s="2766"/>
      <c r="G1597" s="2659"/>
      <c r="H1597" s="478"/>
      <c r="I1597" s="2767" t="s">
        <v>3512</v>
      </c>
      <c r="J1597" s="2766"/>
      <c r="K1597" s="2766"/>
      <c r="L1597" s="2766"/>
      <c r="M1597" s="2563">
        <v>3</v>
      </c>
      <c r="N1597" s="2554"/>
      <c r="O1597" s="2747">
        <f>'Part IX A-Scoring Criteria'!O43</f>
        <v>1</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1998</v>
      </c>
      <c r="B1599" s="2771" t="s">
        <v>2641</v>
      </c>
      <c r="C1599" s="2748"/>
      <c r="D1599" s="2748"/>
      <c r="E1599" s="478"/>
      <c r="F1599" s="2748"/>
      <c r="G1599" s="2620"/>
      <c r="H1599" s="2518" t="s">
        <v>3615</v>
      </c>
      <c r="I1599" s="2518"/>
      <c r="J1599" s="2770">
        <f>'Part VI-Revenues &amp; Expenses'!$O$60</f>
        <v>48</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3616</v>
      </c>
      <c r="C1600" s="2518"/>
      <c r="D1600" s="2518"/>
      <c r="E1600" s="2518"/>
      <c r="F1600" s="2518"/>
      <c r="G1600" s="2704"/>
      <c r="H1600" s="2773" t="s">
        <v>3617</v>
      </c>
      <c r="I1600" s="2773" t="s">
        <v>3618</v>
      </c>
      <c r="J1600" s="2704"/>
      <c r="K1600" s="478" t="s">
        <v>3395</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3744</v>
      </c>
      <c r="H1601" s="2627"/>
      <c r="I1601" s="2627"/>
      <c r="J1601" s="2627"/>
      <c r="K1601" s="2493" t="s">
        <v>3617</v>
      </c>
      <c r="L1601" s="2493" t="s">
        <v>3618</v>
      </c>
      <c r="M1601" s="2562">
        <v>2</v>
      </c>
      <c r="N1601" s="2774" t="s">
        <v>1998</v>
      </c>
      <c r="O1601" s="2775">
        <f>'Part IX A-Scoring Criteria'!O47</f>
        <v>1</v>
      </c>
      <c r="P1601" s="2775">
        <f>'Part IX A-Scoring Criteria'!P47</f>
        <v>0</v>
      </c>
      <c r="Q1601" s="2766"/>
      <c r="R1601" s="2766"/>
      <c r="S1601" s="2766"/>
      <c r="T1601" s="2766"/>
      <c r="U1601" s="2766"/>
      <c r="V1601" s="2766"/>
      <c r="W1601" s="2766"/>
      <c r="X1601" s="2766"/>
      <c r="Y1601" s="2766"/>
      <c r="Z1601" s="2766"/>
    </row>
    <row r="1602" spans="1:26" ht="15">
      <c r="A1602" s="2776"/>
      <c r="B1602" s="2777" t="s">
        <v>2001</v>
      </c>
      <c r="C1602" s="2778">
        <v>0.15</v>
      </c>
      <c r="D1602" s="2687" t="s">
        <v>3394</v>
      </c>
      <c r="E1602" s="2779"/>
      <c r="F1602" s="2779"/>
      <c r="G1602" s="2779"/>
      <c r="H1602" s="2780">
        <f>'Part IX A-Scoring Criteria'!H48</f>
        <v>8</v>
      </c>
      <c r="I1602" s="2780">
        <f>'Part IX A-Scoring Criteria'!I48</f>
        <v>0</v>
      </c>
      <c r="J1602" s="2779"/>
      <c r="K1602" s="2709">
        <f>'Part IX A-Scoring Criteria'!K48</f>
        <v>0.16666666666666666</v>
      </c>
      <c r="L1602" s="2709">
        <f>'Part IX A-Scoring Criteria'!L48</f>
        <v>0</v>
      </c>
      <c r="M1602" s="2557">
        <v>1</v>
      </c>
      <c r="N1602" s="2774" t="s">
        <v>2001</v>
      </c>
      <c r="O1602" s="2775">
        <f>'Part IX A-Scoring Criteria'!O48</f>
        <v>1</v>
      </c>
      <c r="P1602" s="2775">
        <f>'Part IX A-Scoring Criteria'!P48</f>
        <v>0</v>
      </c>
      <c r="Q1602" s="2779"/>
      <c r="R1602" s="2779"/>
      <c r="S1602" s="2779"/>
      <c r="T1602" s="2779"/>
      <c r="U1602" s="2779"/>
      <c r="V1602" s="2779"/>
      <c r="W1602" s="2779"/>
      <c r="X1602" s="2779"/>
      <c r="Y1602" s="2779"/>
      <c r="Z1602" s="2779"/>
    </row>
    <row r="1603" spans="1:26" ht="15">
      <c r="A1603" s="2668" t="s">
        <v>3365</v>
      </c>
      <c r="B1603" s="2777" t="s">
        <v>2003</v>
      </c>
      <c r="C1603" s="2778">
        <v>0.2</v>
      </c>
      <c r="D1603" s="2687" t="s">
        <v>3394</v>
      </c>
      <c r="E1603" s="2779"/>
      <c r="F1603" s="2779"/>
      <c r="G1603" s="2779"/>
      <c r="H1603" s="2780">
        <f>'Part IX A-Scoring Criteria'!H49</f>
        <v>0</v>
      </c>
      <c r="I1603" s="2780">
        <f>'Part IX A-Scoring Criteria'!I49</f>
        <v>0</v>
      </c>
      <c r="J1603" s="2779"/>
      <c r="K1603" s="2709">
        <f>'Part IX A-Scoring Criteria'!K49</f>
        <v>0</v>
      </c>
      <c r="L1603" s="2709">
        <f>'Part IX A-Scoring Criteria'!L49</f>
        <v>0</v>
      </c>
      <c r="M1603" s="2557">
        <v>2</v>
      </c>
      <c r="N1603" s="2774" t="s">
        <v>2003</v>
      </c>
      <c r="O1603" s="2775">
        <f>'Part IX A-Scoring Criteria'!O49</f>
        <v>0</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2000</v>
      </c>
      <c r="B1605" s="2771" t="s">
        <v>4792</v>
      </c>
      <c r="C1605" s="2779"/>
      <c r="D1605" s="2779"/>
      <c r="E1605" s="2725"/>
      <c r="F1605" s="2779"/>
      <c r="G1605" s="2779"/>
      <c r="H1605" s="2627" t="s">
        <v>3679</v>
      </c>
      <c r="I1605" s="2627"/>
      <c r="J1605" s="2779"/>
      <c r="K1605" s="2779"/>
      <c r="L1605" s="2779"/>
      <c r="M1605" s="2562">
        <v>3</v>
      </c>
      <c r="N1605" s="2713" t="s">
        <v>2000</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2001</v>
      </c>
      <c r="C1606" s="2778">
        <v>0.3</v>
      </c>
      <c r="D1606" s="2687" t="s">
        <v>3678</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2001</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2003</v>
      </c>
      <c r="C1607" s="2736" t="s">
        <v>3996</v>
      </c>
      <c r="D1607" s="2779"/>
      <c r="E1607" s="2782"/>
      <c r="F1607" s="2736"/>
      <c r="G1607" s="2779"/>
      <c r="H1607" s="2779"/>
      <c r="I1607" s="2743"/>
      <c r="J1607" s="2743"/>
      <c r="K1607" s="2743"/>
      <c r="L1607" s="2743"/>
      <c r="M1607" s="2743"/>
      <c r="N1607" s="2774" t="s">
        <v>2003</v>
      </c>
      <c r="O1607" s="2668" t="str">
        <f>'Part IX A-Scoring Criteria'!O53</f>
        <v>N/a</v>
      </c>
      <c r="P1607" s="2668">
        <f>'Part IX A-Scoring Criteria'!P53</f>
        <v>0</v>
      </c>
      <c r="Q1607" s="2779"/>
      <c r="R1607" s="2779"/>
      <c r="S1607" s="2779"/>
      <c r="T1607" s="2779"/>
      <c r="U1607" s="2779"/>
      <c r="V1607" s="2779"/>
      <c r="W1607" s="2779"/>
      <c r="X1607" s="2779"/>
      <c r="Y1607" s="2779"/>
      <c r="Z1607" s="2779"/>
    </row>
    <row r="1608" spans="1:26" ht="15">
      <c r="A1608" s="2355"/>
      <c r="B1608" s="2626" t="s">
        <v>1879</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749</v>
      </c>
      <c r="B1611" s="2750" t="s">
        <v>4150</v>
      </c>
      <c r="C1611" s="2748"/>
      <c r="D1611" s="2784"/>
      <c r="E1611" s="2748"/>
      <c r="F1611" s="2748"/>
      <c r="G1611" s="2748"/>
      <c r="H1611" s="2748"/>
      <c r="I1611" s="2518" t="s">
        <v>3799</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3887</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1998</v>
      </c>
      <c r="B1614" s="2570" t="s">
        <v>1887</v>
      </c>
      <c r="C1614" s="2544"/>
      <c r="D1614" s="2544"/>
      <c r="E1614" s="2748"/>
      <c r="F1614" s="2348"/>
      <c r="G1614" s="2357" t="s">
        <v>2735</v>
      </c>
      <c r="H1614" s="2748"/>
      <c r="I1614" s="2587" t="s">
        <v>4793</v>
      </c>
      <c r="J1614" s="2587"/>
      <c r="K1614" s="2587"/>
      <c r="L1614" s="2587"/>
      <c r="M1614" s="2554">
        <v>10</v>
      </c>
      <c r="N1614" s="2785" t="s">
        <v>1998</v>
      </c>
      <c r="O1614" s="2786">
        <f>'Part IX A-Scoring Criteria'!O60</f>
        <v>10</v>
      </c>
      <c r="P1614" s="2786">
        <f>'Part IX A-Scoring Criteria'!P60</f>
        <v>0</v>
      </c>
      <c r="Q1614" s="2787" t="str">
        <f>IF(OR($O1614=$M1614,$O1614=0,$O1614=""),"","*CHECK!*")</f>
        <v/>
      </c>
      <c r="R1614" s="2788" t="s">
        <v>2723</v>
      </c>
      <c r="S1614" s="2748"/>
      <c r="T1614" s="2748"/>
      <c r="U1614" s="2748"/>
      <c r="V1614" s="2748"/>
      <c r="W1614" s="2748"/>
      <c r="X1614" s="2748"/>
      <c r="Y1614" s="2748"/>
      <c r="Z1614" s="2748"/>
    </row>
    <row r="1615" spans="1:26" ht="16.5">
      <c r="A1615" s="2581" t="s">
        <v>2000</v>
      </c>
      <c r="B1615" s="2570" t="s">
        <v>3876</v>
      </c>
      <c r="C1615" s="2748"/>
      <c r="D1615" s="2784"/>
      <c r="E1615" s="2748"/>
      <c r="F1615" s="2789"/>
      <c r="G1615" s="2357" t="s">
        <v>4028</v>
      </c>
      <c r="H1615" s="2748"/>
      <c r="I1615" s="2587"/>
      <c r="J1615" s="2587"/>
      <c r="K1615" s="2587"/>
      <c r="L1615" s="2587"/>
      <c r="M1615" s="2660" t="s">
        <v>1249</v>
      </c>
      <c r="N1615" s="2703" t="s">
        <v>2000</v>
      </c>
      <c r="O1615" s="2786">
        <f>'Part IX A-Scoring Criteria'!O61</f>
        <v>0</v>
      </c>
      <c r="P1615" s="2786">
        <f>'Part IX A-Scoring Criteria'!P61</f>
        <v>0</v>
      </c>
      <c r="Q1615" s="2748"/>
      <c r="R1615" s="2788" t="s">
        <v>2723</v>
      </c>
      <c r="S1615" s="2748"/>
      <c r="T1615" s="2748"/>
      <c r="U1615" s="2748"/>
      <c r="V1615" s="2748"/>
      <c r="W1615" s="2748"/>
      <c r="X1615" s="2748"/>
      <c r="Y1615" s="2748"/>
      <c r="Z1615" s="2748"/>
    </row>
    <row r="1616" spans="1:26" ht="15">
      <c r="A1616" s="2355"/>
      <c r="B1616" s="2767" t="s">
        <v>3784</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146.25">
      <c r="A1617" s="2662" t="str">
        <f>'Part IX A-Scoring Criteria'!A63</f>
        <v>The number of desirable activities are substanially more than the minimum needed for points.  There are no undesirable activities.</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1879</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1804</v>
      </c>
      <c r="B1621" s="2750" t="s">
        <v>2647</v>
      </c>
      <c r="C1621" s="2748"/>
      <c r="D1621" s="2784"/>
      <c r="E1621" s="2748"/>
      <c r="F1621" s="2748"/>
      <c r="G1621" s="2748"/>
      <c r="H1621" s="2748"/>
      <c r="I1621" s="2748"/>
      <c r="J1621" s="2748"/>
      <c r="K1621" s="2790" t="s">
        <v>1893</v>
      </c>
      <c r="L1621" s="2748"/>
      <c r="M1621" s="2563">
        <v>6</v>
      </c>
      <c r="N1621" s="2703"/>
      <c r="O1621" s="2747">
        <f>'Part IX A-Scoring Criteria'!O67</f>
        <v>0</v>
      </c>
      <c r="P1621" s="2747">
        <f>'Part IX A-Scoring Criteria'!P67</f>
        <v>0</v>
      </c>
      <c r="Q1621" s="2563" t="s">
        <v>443</v>
      </c>
      <c r="R1621" s="2791" t="s">
        <v>4794</v>
      </c>
      <c r="S1621" s="2791"/>
      <c r="T1621" s="2791"/>
      <c r="U1621" s="2791"/>
      <c r="V1621" s="2748"/>
      <c r="W1621" s="2748"/>
      <c r="X1621" s="2748"/>
      <c r="Y1621" s="2748"/>
      <c r="Z1621" s="2748"/>
    </row>
    <row r="1622" spans="1:26" ht="15">
      <c r="A1622" s="2749"/>
      <c r="B1622" s="2556" t="s">
        <v>3999</v>
      </c>
      <c r="C1622" s="2748"/>
      <c r="D1622" s="2784"/>
      <c r="E1622" s="2748"/>
      <c r="F1622" s="2748"/>
      <c r="G1622" s="2748"/>
      <c r="H1622" s="2570" t="s">
        <v>2811</v>
      </c>
      <c r="I1622" s="2605"/>
      <c r="J1622" s="2570" t="str">
        <f>'Part I-Project Information'!$H$100</f>
        <v>Rural</v>
      </c>
      <c r="K1622" s="2556"/>
      <c r="L1622" s="2748"/>
      <c r="M1622" s="2563"/>
      <c r="N1622" s="2703"/>
      <c r="O1622" s="2792" t="s">
        <v>3620</v>
      </c>
      <c r="P1622" s="2792" t="s">
        <v>3621</v>
      </c>
      <c r="Q1622" s="2563"/>
      <c r="R1622" s="2791"/>
      <c r="S1622" s="2791"/>
      <c r="T1622" s="2791"/>
      <c r="U1622" s="2791"/>
      <c r="V1622" s="2748"/>
      <c r="W1622" s="2748"/>
      <c r="X1622" s="2748"/>
      <c r="Y1622" s="2748"/>
      <c r="Z1622" s="2748"/>
    </row>
    <row r="1623" spans="1:26" ht="15">
      <c r="A1623" s="2749"/>
      <c r="B1623" s="2793" t="s">
        <v>2001</v>
      </c>
      <c r="C1623" s="1156" t="s">
        <v>3619</v>
      </c>
      <c r="D1623" s="2784"/>
      <c r="E1623" s="2748"/>
      <c r="F1623" s="2748"/>
      <c r="G1623" s="2748"/>
      <c r="H1623" s="2767"/>
      <c r="I1623" s="2626"/>
      <c r="J1623" s="2556"/>
      <c r="K1623" s="2556"/>
      <c r="L1623" s="2748"/>
      <c r="M1623" s="2563"/>
      <c r="N1623" s="2703"/>
      <c r="O1623" s="2668" t="str">
        <f>'Part IX A-Scoring Criteria'!O69</f>
        <v>No</v>
      </c>
      <c r="P1623" s="2668">
        <f>'Part IX A-Scoring Criteria'!P69</f>
        <v>0</v>
      </c>
      <c r="Q1623" s="2563"/>
      <c r="R1623" s="2791"/>
      <c r="S1623" s="2791"/>
      <c r="T1623" s="2791"/>
      <c r="U1623" s="2791"/>
      <c r="V1623" s="2748"/>
      <c r="W1623" s="2748"/>
      <c r="X1623" s="2748"/>
      <c r="Y1623" s="2748"/>
      <c r="Z1623" s="2748"/>
    </row>
    <row r="1624" spans="1:26" ht="15">
      <c r="A1624" s="2749"/>
      <c r="B1624" s="2793" t="s">
        <v>2003</v>
      </c>
      <c r="C1624" s="1156" t="s">
        <v>3997</v>
      </c>
      <c r="D1624" s="2784"/>
      <c r="E1624" s="2748"/>
      <c r="F1624" s="2748"/>
      <c r="G1624" s="2748"/>
      <c r="H1624" s="2767"/>
      <c r="I1624" s="2626"/>
      <c r="J1624" s="2556"/>
      <c r="K1624" s="2556"/>
      <c r="L1624" s="2748"/>
      <c r="M1624" s="2748"/>
      <c r="N1624" s="2703"/>
      <c r="O1624" s="2668" t="str">
        <f>'Part IX A-Scoring Criteria'!O70</f>
        <v>N/a</v>
      </c>
      <c r="P1624" s="2668">
        <f>'Part IX A-Scoring Criteria'!P70</f>
        <v>0</v>
      </c>
      <c r="Q1624" s="2563"/>
      <c r="R1624" s="2791"/>
      <c r="S1624" s="2791"/>
      <c r="T1624" s="2791"/>
      <c r="U1624" s="2791"/>
      <c r="V1624" s="2748"/>
      <c r="W1624" s="2748"/>
      <c r="X1624" s="2748"/>
      <c r="Y1624" s="2748"/>
      <c r="Z1624" s="2748"/>
    </row>
    <row r="1625" spans="1:26" ht="15">
      <c r="A1625" s="2749"/>
      <c r="B1625" s="2793" t="s">
        <v>2550</v>
      </c>
      <c r="C1625" s="1156" t="s">
        <v>3998</v>
      </c>
      <c r="D1625" s="2784"/>
      <c r="E1625" s="2748"/>
      <c r="F1625" s="2748"/>
      <c r="G1625" s="2748"/>
      <c r="H1625" s="2767"/>
      <c r="I1625" s="2626"/>
      <c r="J1625" s="2556"/>
      <c r="K1625" s="2556"/>
      <c r="L1625" s="2748"/>
      <c r="M1625" s="2748"/>
      <c r="N1625" s="2703"/>
      <c r="O1625" s="2668">
        <f>'Part IX A-Scoring Criteria'!O71</f>
        <v>0</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4006</v>
      </c>
      <c r="C1627" s="2748"/>
      <c r="D1627" s="2784"/>
      <c r="E1627" s="2748"/>
      <c r="F1627" s="2556" t="s">
        <v>3745</v>
      </c>
      <c r="G1627" s="2556"/>
      <c r="H1627" s="2556"/>
      <c r="I1627" s="2556"/>
      <c r="J1627" s="2556" t="s">
        <v>3746</v>
      </c>
      <c r="K1627" s="2556"/>
      <c r="L1627" s="2556"/>
      <c r="M1627" s="2556"/>
      <c r="N1627" s="2703"/>
      <c r="O1627" s="2519" t="s">
        <v>4795</v>
      </c>
      <c r="P1627" s="2794"/>
      <c r="Q1627" s="2563"/>
      <c r="R1627" s="2791"/>
      <c r="S1627" s="2791"/>
      <c r="T1627" s="2791"/>
      <c r="U1627" s="2791"/>
      <c r="V1627" s="2748"/>
      <c r="W1627" s="2748"/>
      <c r="X1627" s="2748"/>
      <c r="Y1627" s="2748"/>
      <c r="Z1627" s="2748"/>
    </row>
    <row r="1628" spans="1:26" ht="15">
      <c r="A1628" s="2749"/>
      <c r="B1628" s="2748"/>
      <c r="C1628" s="2556" t="s">
        <v>4005</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4007</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4197</v>
      </c>
      <c r="B1630" s="2653"/>
      <c r="C1630" s="2556" t="s">
        <v>4148</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4146</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2802</v>
      </c>
      <c r="B1633" s="2750"/>
      <c r="C1633" s="2748"/>
      <c r="D1633" s="2784"/>
      <c r="E1633" s="2748"/>
      <c r="F1633" s="2797" t="s">
        <v>4796</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1998</v>
      </c>
      <c r="B1634" s="2570" t="s">
        <v>3777</v>
      </c>
      <c r="C1634" s="2748"/>
      <c r="D1634" s="2784"/>
      <c r="E1634" s="2748"/>
      <c r="F1634" s="2767" t="s">
        <v>4797</v>
      </c>
      <c r="G1634" s="2748"/>
      <c r="H1634" s="2748"/>
      <c r="I1634" s="2798" t="s">
        <v>4798</v>
      </c>
      <c r="J1634" s="2798"/>
      <c r="K1634" s="2798"/>
      <c r="L1634" s="2798"/>
      <c r="M1634" s="2563">
        <v>6</v>
      </c>
      <c r="N1634" s="2774" t="s">
        <v>1998</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2001</v>
      </c>
      <c r="C1635" s="2662" t="s">
        <v>4799</v>
      </c>
      <c r="D1635" s="2662"/>
      <c r="E1635" s="2662"/>
      <c r="F1635" s="2662"/>
      <c r="G1635" s="2662"/>
      <c r="H1635" s="2662"/>
      <c r="I1635" s="2798"/>
      <c r="J1635" s="2798"/>
      <c r="K1635" s="2798"/>
      <c r="L1635" s="2798"/>
      <c r="M1635" s="2801">
        <v>5</v>
      </c>
      <c r="N1635" s="2793" t="s">
        <v>2001</v>
      </c>
      <c r="O1635" s="2786">
        <f>'Part IX A-Scoring Criteria'!O81</f>
        <v>0</v>
      </c>
      <c r="P1635" s="2786">
        <f>'Part IX A-Scoring Criteria'!P81</f>
        <v>0</v>
      </c>
      <c r="Q1635" s="2787" t="str">
        <f>IF(OR($O1635=$M1635,$O1635=0,$O1635=""),"","*CHECK!*")</f>
        <v/>
      </c>
      <c r="R1635" s="2788" t="s">
        <v>2723</v>
      </c>
      <c r="S1635" s="2799"/>
      <c r="T1635" s="2799"/>
      <c r="U1635" s="2799"/>
      <c r="V1635" s="2799"/>
      <c r="W1635" s="2799"/>
      <c r="X1635" s="2799"/>
      <c r="Y1635" s="2799"/>
      <c r="Z1635" s="2799"/>
    </row>
    <row r="1636" spans="1:26" ht="15" customHeight="1">
      <c r="A1636" s="2668" t="s">
        <v>1364</v>
      </c>
      <c r="B1636" s="2800" t="s">
        <v>2003</v>
      </c>
      <c r="C1636" s="2687" t="s">
        <v>4800</v>
      </c>
      <c r="D1636" s="2687"/>
      <c r="E1636" s="2687"/>
      <c r="F1636" s="2687"/>
      <c r="G1636" s="2687"/>
      <c r="H1636" s="2687"/>
      <c r="I1636" s="2798"/>
      <c r="J1636" s="2798"/>
      <c r="K1636" s="2798"/>
      <c r="L1636" s="2798"/>
      <c r="M1636" s="2801">
        <v>4</v>
      </c>
      <c r="N1636" s="2793" t="s">
        <v>2003</v>
      </c>
      <c r="O1636" s="2786">
        <f>'Part IX A-Scoring Criteria'!O82</f>
        <v>0</v>
      </c>
      <c r="P1636" s="2786">
        <f>'Part IX A-Scoring Criteria'!P82</f>
        <v>0</v>
      </c>
      <c r="Q1636" s="2787" t="str">
        <f t="shared" ref="Q1636:Q1637" si="321">IF(OR($O1636=$M1636,$O1636=0,$O1636=""),"","*CHECK!*")</f>
        <v/>
      </c>
      <c r="R1636" s="2788" t="s">
        <v>2723</v>
      </c>
      <c r="S1636" s="2799"/>
      <c r="T1636" s="2799"/>
      <c r="U1636" s="2799"/>
      <c r="V1636" s="2799"/>
      <c r="W1636" s="2799"/>
      <c r="X1636" s="2799"/>
      <c r="Y1636" s="2799"/>
      <c r="Z1636" s="2799"/>
    </row>
    <row r="1637" spans="1:26" ht="15" customHeight="1">
      <c r="A1637" s="2799"/>
      <c r="B1637" s="2800" t="s">
        <v>2550</v>
      </c>
      <c r="C1637" s="2687" t="s">
        <v>3778</v>
      </c>
      <c r="D1637" s="2687"/>
      <c r="E1637" s="2687"/>
      <c r="F1637" s="2687"/>
      <c r="G1637" s="2703" t="s">
        <v>4145</v>
      </c>
      <c r="H1637" s="2695" t="str">
        <f>'Part I-Project Information'!$H$78</f>
        <v>Family</v>
      </c>
      <c r="I1637" s="2433" t="str">
        <f>'Part IX A-Scoring Criteria'!I83</f>
        <v>&lt;&lt; Enter transit agency/service name here &gt;&gt;</v>
      </c>
      <c r="J1637" s="2433">
        <f>'Part IX A-Scoring Criteria'!J83</f>
        <v>0</v>
      </c>
      <c r="K1637" s="2433">
        <f>'Part IX A-Scoring Criteria'!K83</f>
        <v>0</v>
      </c>
      <c r="L1637" s="2802" t="str">
        <f>'Part IX A-Scoring Criteria'!L83</f>
        <v>&lt;Enter phone here&gt;</v>
      </c>
      <c r="M1637" s="2801">
        <v>1</v>
      </c>
      <c r="N1637" s="2793" t="s">
        <v>2550</v>
      </c>
      <c r="O1637" s="2786">
        <f>'Part IX A-Scoring Criteria'!O83</f>
        <v>0</v>
      </c>
      <c r="P1637" s="2786">
        <f>'Part IX A-Scoring Criteria'!P83</f>
        <v>0</v>
      </c>
      <c r="Q1637" s="2787" t="str">
        <f t="shared" si="321"/>
        <v/>
      </c>
      <c r="R1637" s="2788" t="s">
        <v>2723</v>
      </c>
      <c r="S1637" s="2799"/>
      <c r="T1637" s="2799"/>
      <c r="U1637" s="2799"/>
      <c r="V1637" s="2799"/>
      <c r="W1637" s="2799"/>
      <c r="X1637" s="2799"/>
      <c r="Y1637" s="2799"/>
      <c r="Z1637" s="2799"/>
    </row>
    <row r="1638" spans="1:26" ht="15">
      <c r="A1638" s="2702" t="s">
        <v>2000</v>
      </c>
      <c r="B1638" s="2803" t="s">
        <v>3779</v>
      </c>
      <c r="C1638" s="1327"/>
      <c r="D1638" s="1327"/>
      <c r="E1638" s="1327"/>
      <c r="F1638" s="2804" t="s">
        <v>4801</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2000</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2001</v>
      </c>
      <c r="C1639" s="2627" t="s">
        <v>4802</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1">
        <v>3</v>
      </c>
      <c r="N1639" s="2793" t="s">
        <v>2001</v>
      </c>
      <c r="O1639" s="2786">
        <f>'Part IX A-Scoring Criteria'!O85</f>
        <v>0</v>
      </c>
      <c r="P1639" s="2786">
        <f>'Part IX A-Scoring Criteria'!P85</f>
        <v>0</v>
      </c>
      <c r="Q1639" s="2787" t="str">
        <f>IF(OR($O1639=$M1639,$O1639=0,$O1639=""),"","*CHECK!*")</f>
        <v/>
      </c>
      <c r="R1639" s="2788" t="s">
        <v>2723</v>
      </c>
      <c r="S1639" s="2799"/>
      <c r="T1639" s="2799"/>
      <c r="U1639" s="2799"/>
      <c r="V1639" s="2799"/>
      <c r="W1639" s="2799"/>
      <c r="X1639" s="2799"/>
      <c r="Y1639" s="2799"/>
      <c r="Z1639" s="2799"/>
    </row>
    <row r="1640" spans="1:26" ht="15" customHeight="1">
      <c r="A1640" s="2714" t="s">
        <v>1364</v>
      </c>
      <c r="B1640" s="2800" t="s">
        <v>2003</v>
      </c>
      <c r="C1640" s="2627" t="s">
        <v>4803</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2003</v>
      </c>
      <c r="O1640" s="2786">
        <f>'Part IX A-Scoring Criteria'!O86</f>
        <v>0</v>
      </c>
      <c r="P1640" s="2786">
        <f>'Part IX A-Scoring Criteria'!P86</f>
        <v>0</v>
      </c>
      <c r="Q1640" s="2787" t="str">
        <f t="shared" ref="Q1640:Q1641" si="322">IF(OR($O1640=$M1640,$O1640=0,$O1640=""),"","*CHECK!*")</f>
        <v/>
      </c>
      <c r="R1640" s="2788" t="s">
        <v>2723</v>
      </c>
      <c r="S1640" s="2748"/>
      <c r="T1640" s="2748"/>
      <c r="U1640" s="2748"/>
      <c r="V1640" s="2748"/>
      <c r="W1640" s="2748"/>
      <c r="X1640" s="2748"/>
      <c r="Y1640" s="2748"/>
      <c r="Z1640" s="2748"/>
    </row>
    <row r="1641" spans="1:26" ht="15" customHeight="1">
      <c r="A1641" s="2714" t="s">
        <v>1364</v>
      </c>
      <c r="B1641" s="2800" t="s">
        <v>2550</v>
      </c>
      <c r="C1641" s="2662" t="s">
        <v>4804</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2550</v>
      </c>
      <c r="O1641" s="2786">
        <f>'Part IX A-Scoring Criteria'!O87</f>
        <v>0</v>
      </c>
      <c r="P1641" s="2786">
        <f>'Part IX A-Scoring Criteria'!P87</f>
        <v>0</v>
      </c>
      <c r="Q1641" s="2787" t="str">
        <f t="shared" si="322"/>
        <v/>
      </c>
      <c r="R1641" s="2788" t="s">
        <v>2723</v>
      </c>
      <c r="S1641" s="2748"/>
      <c r="T1641" s="2748"/>
      <c r="U1641" s="2748"/>
      <c r="V1641" s="2748"/>
      <c r="W1641" s="2748"/>
      <c r="X1641" s="2748"/>
      <c r="Y1641" s="2748"/>
      <c r="Z1641" s="2748"/>
    </row>
    <row r="1642" spans="1:26" ht="15">
      <c r="A1642" s="2796" t="s">
        <v>2804</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1235</v>
      </c>
      <c r="C1643" s="2570" t="s">
        <v>4805</v>
      </c>
      <c r="D1643" s="2570"/>
      <c r="E1643" s="2570"/>
      <c r="F1643" s="2570"/>
      <c r="G1643" s="2570"/>
      <c r="H1643" s="2570"/>
      <c r="I1643" s="2570"/>
      <c r="J1643" s="2570"/>
      <c r="K1643" s="2570"/>
      <c r="L1643" s="2570"/>
      <c r="M1643" s="2554">
        <v>2</v>
      </c>
      <c r="N1643" s="2793" t="s">
        <v>1235</v>
      </c>
      <c r="O1643" s="2747">
        <f>'Part IX A-Scoring Criteria'!O89</f>
        <v>0</v>
      </c>
      <c r="P1643" s="2747">
        <f>'Part IX A-Scoring Criteria'!P89</f>
        <v>0</v>
      </c>
      <c r="Q1643" s="2787" t="str">
        <f>IF(OR($O1643=$M1643,$O1643=0,$O1643=""),"","*CHECK!*")</f>
        <v/>
      </c>
      <c r="R1643" s="2788" t="s">
        <v>2723</v>
      </c>
      <c r="S1643" s="2766"/>
      <c r="T1643" s="2766"/>
      <c r="U1643" s="2766"/>
      <c r="V1643" s="2766"/>
      <c r="W1643" s="2766"/>
      <c r="X1643" s="2766"/>
      <c r="Y1643" s="2766"/>
      <c r="Z1643" s="2766"/>
    </row>
    <row r="1644" spans="1:26" ht="15">
      <c r="A1644" s="478" t="s">
        <v>4806</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1879</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1806</v>
      </c>
      <c r="B1648" s="2750" t="s">
        <v>219</v>
      </c>
      <c r="C1648" s="2748"/>
      <c r="D1648" s="478"/>
      <c r="E1648" s="478"/>
      <c r="F1648" s="2748"/>
      <c r="G1648" s="2807"/>
      <c r="H1648" s="2808"/>
      <c r="I1648" s="2808"/>
      <c r="J1648" s="2808"/>
      <c r="K1648" s="2808"/>
      <c r="L1648" s="2808"/>
      <c r="M1648" s="2563">
        <v>3</v>
      </c>
      <c r="N1648" s="2809"/>
      <c r="O1648" s="2747">
        <f>'Part IX A-Scoring Criteria'!O94</f>
        <v>2</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4807</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f>'Part IX A-Scoring Criteria'!I96</f>
        <v>0</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2811</v>
      </c>
      <c r="C1651" s="2748"/>
      <c r="D1651" s="2748"/>
      <c r="E1651" s="2748"/>
      <c r="F1651" s="2748"/>
      <c r="G1651" s="2784"/>
      <c r="H1651" s="2784"/>
      <c r="I1651" s="2812" t="str">
        <f>'Part I-Project Information'!$H$100</f>
        <v>Rural</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4009</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4014</v>
      </c>
      <c r="D1653" s="2811"/>
      <c r="E1653" s="2811"/>
      <c r="F1653" s="2811"/>
      <c r="G1653" s="2811"/>
      <c r="H1653" s="2811"/>
      <c r="I1653" s="2747">
        <f>'Part IX A-Scoring Criteria'!I99</f>
        <v>0</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4015</v>
      </c>
      <c r="D1654" s="2811"/>
      <c r="E1654" s="2811"/>
      <c r="F1654" s="2811"/>
      <c r="G1654" s="2811"/>
      <c r="H1654" s="2811"/>
      <c r="I1654" s="2747">
        <f>'Part IX A-Scoring Criteria'!I100</f>
        <v>0</v>
      </c>
      <c r="J1654" s="2747">
        <f>'Part IX A-Scoring Criteria'!J100</f>
        <v>0</v>
      </c>
      <c r="K1654" s="2602"/>
      <c r="L1654" s="2811"/>
      <c r="M1654" s="2811"/>
      <c r="N1654" s="2811"/>
      <c r="O1654" s="2811" t="s">
        <v>4023</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1998</v>
      </c>
      <c r="B1656" s="2570" t="s">
        <v>4808</v>
      </c>
      <c r="D1656" s="2355"/>
      <c r="K1656" s="2525" t="str">
        <f>IF(OR(AND(O1656&gt;0,O1657&gt;0),AND(O1657&gt;0,O1658&gt;0),AND(O1656&gt;0,O1658&gt;0)),"Choose A, B, or C.  See instructions.",IF(AND(O1658&gt;0,O1659&gt;0),"Choose A or B when choosing D.  See instructions.",""))</f>
        <v/>
      </c>
      <c r="L1656" s="2525"/>
      <c r="M1656" s="2801">
        <v>2</v>
      </c>
      <c r="N1656" s="2703" t="s">
        <v>1998</v>
      </c>
      <c r="O1656" s="2786">
        <f>'Part IX A-Scoring Criteria'!O102</f>
        <v>0</v>
      </c>
      <c r="P1656" s="2786">
        <f>'Part IX A-Scoring Criteria'!P102</f>
        <v>0</v>
      </c>
      <c r="Q1656" s="2787" t="str">
        <f>IF(OR($O1656=$M1656,$O1656=0,$O1656=""),"","*CHECK!*")</f>
        <v/>
      </c>
      <c r="R1656" s="2788" t="s">
        <v>2723</v>
      </c>
    </row>
    <row r="1657" spans="1:26" ht="13.5" customHeight="1">
      <c r="A1657" s="2581" t="s">
        <v>2000</v>
      </c>
      <c r="B1657" s="2570" t="s">
        <v>312</v>
      </c>
      <c r="D1657" s="2355"/>
      <c r="E1657" s="2355"/>
      <c r="K1657" s="2525"/>
      <c r="L1657" s="2525"/>
      <c r="M1657" s="2801">
        <v>1</v>
      </c>
      <c r="N1657" s="2703" t="s">
        <v>2000</v>
      </c>
      <c r="O1657" s="2786">
        <f>'Part IX A-Scoring Criteria'!O103</f>
        <v>1</v>
      </c>
      <c r="P1657" s="2786">
        <f>'Part IX A-Scoring Criteria'!P103</f>
        <v>0</v>
      </c>
      <c r="Q1657" s="2787" t="str">
        <f t="shared" ref="Q1657:Q1659" si="323">IF(OR($O1657=$M1657,$O1657=0,$O1657=""),"","*CHECK!*")</f>
        <v/>
      </c>
      <c r="R1657" s="2788" t="s">
        <v>2723</v>
      </c>
    </row>
    <row r="1658" spans="1:26" ht="13.5" customHeight="1">
      <c r="A1658" s="2581" t="s">
        <v>756</v>
      </c>
      <c r="B1658" s="2570" t="s">
        <v>4809</v>
      </c>
      <c r="D1658" s="2355"/>
      <c r="E1658" s="2355"/>
      <c r="F1658" s="2355"/>
      <c r="K1658" s="2525"/>
      <c r="L1658" s="2525"/>
      <c r="M1658" s="2801">
        <v>3</v>
      </c>
      <c r="N1658" s="2703" t="s">
        <v>756</v>
      </c>
      <c r="O1658" s="2786">
        <f>'Part IX A-Scoring Criteria'!O104</f>
        <v>0</v>
      </c>
      <c r="P1658" s="2786">
        <f>'Part IX A-Scoring Criteria'!P104</f>
        <v>0</v>
      </c>
      <c r="Q1658" s="2787" t="str">
        <f t="shared" si="323"/>
        <v/>
      </c>
      <c r="R1658" s="2788" t="s">
        <v>2723</v>
      </c>
    </row>
    <row r="1659" spans="1:26" ht="13.5" customHeight="1">
      <c r="A1659" s="2581" t="s">
        <v>2130</v>
      </c>
      <c r="B1659" s="2570" t="s">
        <v>3808</v>
      </c>
      <c r="D1659" s="2355"/>
      <c r="E1659" s="2355"/>
      <c r="F1659" s="478" t="s">
        <v>4025</v>
      </c>
      <c r="J1659" s="2563" t="str">
        <f>'Part IX A-Scoring Criteria'!J105</f>
        <v>&lt;Select &gt;</v>
      </c>
      <c r="K1659" s="2525"/>
      <c r="L1659" s="2525"/>
      <c r="M1659" s="2801">
        <v>1</v>
      </c>
      <c r="N1659" s="2703" t="s">
        <v>2130</v>
      </c>
      <c r="O1659" s="2786">
        <f>'Part IX A-Scoring Criteria'!O105</f>
        <v>1</v>
      </c>
      <c r="P1659" s="2786">
        <f>'Part IX A-Scoring Criteria'!P105</f>
        <v>0</v>
      </c>
      <c r="Q1659" s="2787" t="str">
        <f t="shared" si="323"/>
        <v/>
      </c>
      <c r="R1659" s="2788" t="s">
        <v>2723</v>
      </c>
    </row>
    <row r="1660" spans="1:26" ht="15">
      <c r="A1660" s="2355"/>
      <c r="B1660" s="2767" t="s">
        <v>3784</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89.25">
      <c r="A1661" s="2433" t="str">
        <f>'Part IX A-Scoring Criteria'!A107</f>
        <v>This is not a gut rehab and the earthcraft programs cannot be implemented on this rehab.</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1879</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534</v>
      </c>
      <c r="B1665" s="2750" t="s">
        <v>4026</v>
      </c>
      <c r="C1665" s="2748"/>
      <c r="D1665" s="478"/>
      <c r="E1665" s="478"/>
      <c r="F1665" s="2563"/>
      <c r="G1665" s="2563"/>
      <c r="H1665" s="2563"/>
      <c r="I1665" s="2797" t="s">
        <v>4796</v>
      </c>
      <c r="J1665" s="2598"/>
      <c r="K1665" s="2598"/>
      <c r="L1665" s="2598"/>
      <c r="M1665" s="2563">
        <v>3</v>
      </c>
      <c r="N1665" s="2563"/>
      <c r="O1665" s="2747">
        <f>'Part IX A-Scoring Criteria'!O111</f>
        <v>0</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1998</v>
      </c>
      <c r="B1667" s="2570" t="s">
        <v>4027</v>
      </c>
      <c r="C1667" s="2766"/>
      <c r="D1667" s="2784"/>
      <c r="E1667" s="1156" t="s">
        <v>4152</v>
      </c>
      <c r="F1667" s="2748"/>
      <c r="G1667" s="2695"/>
      <c r="H1667" s="2748"/>
      <c r="I1667" s="2703" t="s">
        <v>4145</v>
      </c>
      <c r="J1667" s="2695" t="str">
        <f>'Part I-Project Information'!$H$78</f>
        <v>Family</v>
      </c>
      <c r="K1667" s="2784"/>
      <c r="L1667" s="2711" t="str">
        <f>IF(OR($O1667=$M1667,$O1667=0,$O1667=""),"","* * Check Score! * *")</f>
        <v/>
      </c>
      <c r="M1667" s="2554">
        <v>3</v>
      </c>
      <c r="N1667" s="2703" t="s">
        <v>1998</v>
      </c>
      <c r="O1667" s="2747">
        <f>'Part IX A-Scoring Criteria'!O113</f>
        <v>0</v>
      </c>
      <c r="P1667" s="2747">
        <f>'Part IX A-Scoring Criteria'!P113</f>
        <v>0</v>
      </c>
      <c r="Q1667" s="2787" t="str">
        <f>IF(OR($O1667=$M1667,$O1667=0,$O1667=""),"","*CHECK!*")</f>
        <v/>
      </c>
      <c r="R1667" s="2788" t="s">
        <v>2723</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2000</v>
      </c>
      <c r="B1669" s="2570" t="s">
        <v>4029</v>
      </c>
      <c r="C1669" s="2766"/>
      <c r="D1669" s="2813"/>
      <c r="E1669" s="2407" t="s">
        <v>4258</v>
      </c>
      <c r="F1669" s="2748"/>
      <c r="G1669" s="2695"/>
      <c r="H1669" s="2748"/>
      <c r="I1669" s="2814"/>
      <c r="J1669" s="2784"/>
      <c r="K1669" s="2748"/>
      <c r="L1669" s="2711" t="str">
        <f>IF(OR($O1669&lt;=$M1669,$O1669=0,$O1669=""),"","* * Check Score! * *")</f>
        <v/>
      </c>
      <c r="M1669" s="2550">
        <v>3</v>
      </c>
      <c r="N1669" s="2703" t="s">
        <v>2000</v>
      </c>
      <c r="O1669" s="2747">
        <f>'Part IX A-Scoring Criteria'!O115</f>
        <v>0</v>
      </c>
      <c r="P1669" s="2747">
        <f>'Part IX A-Scoring Criteria'!P115</f>
        <v>0</v>
      </c>
      <c r="Q1669" s="2815"/>
      <c r="R1669" s="2815"/>
      <c r="S1669" s="2815"/>
      <c r="T1669" s="2815"/>
      <c r="U1669" s="2748"/>
      <c r="V1669" s="2748"/>
      <c r="W1669" s="2748"/>
      <c r="X1669" s="2748"/>
      <c r="Y1669" s="2748"/>
      <c r="Z1669" s="2748"/>
    </row>
    <row r="1670" spans="1:26" ht="18.75">
      <c r="A1670" s="2701"/>
      <c r="B1670" s="2816" t="s">
        <v>4182</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22.5">
      <c r="A1671" s="2701"/>
      <c r="B1671" s="478"/>
      <c r="C1671" s="2818" t="s">
        <v>4183</v>
      </c>
      <c r="D1671" s="2627">
        <f>'Part IX A-Scoring Criteria'!D117</f>
        <v>0</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2001</v>
      </c>
      <c r="C1673" s="2570" t="s">
        <v>4030</v>
      </c>
      <c r="D1673" s="2766"/>
      <c r="E1673" s="2766"/>
      <c r="F1673" s="478"/>
      <c r="G1673" s="478"/>
      <c r="H1673" s="2766"/>
      <c r="I1673" s="2766"/>
      <c r="J1673" s="2766"/>
      <c r="K1673" s="2766"/>
      <c r="L1673" s="2711" t="str">
        <f>IF(OR($O1673=$M1673,$O1673=0,$O1673=""),"","* * Check Score! * *")</f>
        <v/>
      </c>
      <c r="M1673" s="2557">
        <v>2</v>
      </c>
      <c r="N1673" s="2785" t="s">
        <v>2001</v>
      </c>
      <c r="O1673" s="2747">
        <f>'Part IX A-Scoring Criteria'!O119</f>
        <v>0</v>
      </c>
      <c r="P1673" s="2747">
        <f>'Part IX A-Scoring Criteria'!P119</f>
        <v>0</v>
      </c>
      <c r="Q1673" s="2787" t="str">
        <f>IF(OR($O1673=$M1673,$O1673=0,$O1673=""),"","*CHECK!*")</f>
        <v/>
      </c>
      <c r="R1673" s="2788" t="s">
        <v>2723</v>
      </c>
      <c r="S1673" s="2815"/>
      <c r="T1673" s="2815"/>
      <c r="U1673" s="2766"/>
      <c r="V1673" s="2766"/>
      <c r="W1673" s="2766"/>
      <c r="X1673" s="2766"/>
      <c r="Y1673" s="2766"/>
      <c r="Z1673" s="2766"/>
    </row>
    <row r="1674" spans="1:26" ht="18.75">
      <c r="A1674" s="2581"/>
      <c r="B1674" s="2819"/>
      <c r="C1674" s="478" t="s">
        <v>4031</v>
      </c>
      <c r="D1674" s="2766"/>
      <c r="E1674" s="478"/>
      <c r="F1674" s="478"/>
      <c r="G1674" s="478"/>
      <c r="H1674" s="2766"/>
      <c r="I1674" s="2766"/>
      <c r="J1674" s="2766"/>
      <c r="K1674" s="2766"/>
      <c r="L1674" s="2766"/>
      <c r="M1674" s="2557"/>
      <c r="N1674" s="2557"/>
      <c r="O1674" s="2668">
        <f>'Part IX A-Scoring Criteria'!O120</f>
        <v>0</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4810</v>
      </c>
      <c r="D1675" s="2357" t="s">
        <v>4153</v>
      </c>
      <c r="E1675" s="2766"/>
      <c r="F1675" s="478"/>
      <c r="G1675" s="478"/>
      <c r="H1675" s="2518">
        <f>'Part IX A-Scoring Criteria'!H121</f>
        <v>0</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4034</v>
      </c>
      <c r="D1676" s="2766"/>
      <c r="E1676" s="478"/>
      <c r="F1676" s="478"/>
      <c r="G1676" s="478"/>
      <c r="H1676" s="2766"/>
      <c r="I1676" s="2766"/>
      <c r="J1676" s="2766"/>
      <c r="K1676" s="2766"/>
      <c r="L1676" s="2766"/>
      <c r="M1676" s="2554"/>
      <c r="N1676" s="2713" t="s">
        <v>3812</v>
      </c>
      <c r="O1676" s="2668">
        <f>'Part IX A-Scoring Criteria'!O122</f>
        <v>0</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4035</v>
      </c>
      <c r="D1677" s="478"/>
      <c r="E1677" s="478"/>
      <c r="F1677" s="478"/>
      <c r="G1677" s="478"/>
      <c r="H1677" s="478"/>
      <c r="I1677" s="478"/>
      <c r="J1677" s="478"/>
      <c r="K1677" s="478"/>
      <c r="L1677" s="478"/>
      <c r="M1677" s="2660"/>
      <c r="N1677" s="2703" t="s">
        <v>3813</v>
      </c>
      <c r="O1677" s="2668">
        <f>'Part IX A-Scoring Criteria'!O123</f>
        <v>0</v>
      </c>
      <c r="P1677" s="2668">
        <f>'Part IX A-Scoring Criteria'!P123</f>
        <v>0</v>
      </c>
      <c r="Q1677" s="2815"/>
      <c r="R1677" s="2815"/>
      <c r="S1677" s="2815"/>
      <c r="T1677" s="2815"/>
      <c r="U1677" s="478"/>
      <c r="V1677" s="478"/>
      <c r="W1677" s="478"/>
      <c r="X1677" s="478"/>
      <c r="Y1677" s="478"/>
      <c r="Z1677" s="478"/>
    </row>
    <row r="1678" spans="1:26">
      <c r="A1678" s="2701"/>
      <c r="B1678" s="1156"/>
      <c r="C1678" s="1156" t="s">
        <v>4180</v>
      </c>
      <c r="D1678" s="1156"/>
      <c r="E1678" s="478"/>
      <c r="F1678" s="478"/>
      <c r="G1678" s="478"/>
      <c r="H1678" s="1156"/>
      <c r="I1678" s="1156"/>
      <c r="J1678" s="1156"/>
      <c r="K1678" s="1156"/>
      <c r="L1678" s="2725" t="s">
        <v>3849</v>
      </c>
      <c r="M1678" s="2725"/>
      <c r="N1678" s="2725"/>
      <c r="O1678" s="2725" t="s">
        <v>3848</v>
      </c>
      <c r="P1678" s="2725"/>
      <c r="Q1678" s="478"/>
      <c r="R1678" s="1156"/>
      <c r="S1678" s="1156"/>
      <c r="T1678" s="1156"/>
      <c r="U1678" s="1156"/>
      <c r="V1678" s="1156"/>
      <c r="W1678" s="1156"/>
      <c r="X1678" s="1156"/>
      <c r="Y1678" s="1156"/>
      <c r="Z1678" s="1156"/>
    </row>
    <row r="1679" spans="1:26">
      <c r="A1679" s="2701"/>
      <c r="B1679" s="2703"/>
      <c r="C1679" s="2662">
        <f>'Part IX A-Scoring Criteria'!C125</f>
        <v>0</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c r="A1680" s="2701"/>
      <c r="B1680" s="2713"/>
      <c r="C1680" s="2662">
        <f>'Part IX A-Scoring Criteria'!C126</f>
        <v>0</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c r="A1681" s="2701"/>
      <c r="B1681" s="2703"/>
      <c r="C1681" s="2662">
        <f>'Part IX A-Scoring Criteria'!C127</f>
        <v>0</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&lt;&lt; Select &gt;&gt;</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4811</v>
      </c>
      <c r="D1683" s="478" t="s">
        <v>4036</v>
      </c>
      <c r="E1683" s="478"/>
      <c r="F1683" s="478"/>
      <c r="G1683" s="478"/>
      <c r="H1683" s="2766"/>
      <c r="I1683" s="2766"/>
      <c r="J1683" s="2766"/>
      <c r="K1683" s="2766"/>
      <c r="L1683" s="2766"/>
      <c r="M1683" s="2766"/>
      <c r="N1683" s="2713" t="s">
        <v>3812</v>
      </c>
      <c r="O1683" s="2668">
        <f>'Part IX A-Scoring Criteria'!O129</f>
        <v>0</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4037</v>
      </c>
      <c r="E1684" s="478"/>
      <c r="F1684" s="478"/>
      <c r="G1684" s="478"/>
      <c r="H1684" s="2766"/>
      <c r="I1684" s="2766"/>
      <c r="J1684" s="2766"/>
      <c r="K1684" s="2766"/>
      <c r="L1684" s="2766"/>
      <c r="M1684" s="2554"/>
      <c r="N1684" s="2703" t="s">
        <v>3813</v>
      </c>
      <c r="O1684" s="2668">
        <f>'Part IX A-Scoring Criteria'!O130</f>
        <v>0</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4185</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4214</v>
      </c>
      <c r="D1686" s="2701"/>
      <c r="E1686" s="2701"/>
      <c r="F1686" s="2701"/>
      <c r="G1686" s="2668">
        <f>'Part IX A-Scoring Criteria'!G132</f>
        <v>0</v>
      </c>
      <c r="H1686" s="2668">
        <f>'Part IX A-Scoring Criteria'!H132</f>
        <v>0</v>
      </c>
      <c r="I1686" s="2598" t="s">
        <v>4217</v>
      </c>
      <c r="J1686" s="1156"/>
      <c r="K1686" s="1156"/>
      <c r="L1686" s="2701"/>
      <c r="M1686" s="2701"/>
      <c r="N1686" s="2701"/>
      <c r="O1686" s="2668">
        <f>'Part IX A-Scoring Criteria'!O132</f>
        <v>0</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4215</v>
      </c>
      <c r="D1687" s="2701"/>
      <c r="E1687" s="2701"/>
      <c r="F1687" s="2701"/>
      <c r="G1687" s="2668">
        <f>'Part IX A-Scoring Criteria'!G133</f>
        <v>0</v>
      </c>
      <c r="H1687" s="2668">
        <f>'Part IX A-Scoring Criteria'!H133</f>
        <v>0</v>
      </c>
      <c r="I1687" s="478" t="s">
        <v>4218</v>
      </c>
      <c r="J1687" s="1156"/>
      <c r="K1687" s="1156"/>
      <c r="L1687" s="2701"/>
      <c r="M1687" s="2701"/>
      <c r="N1687" s="2701"/>
      <c r="O1687" s="2668">
        <f>'Part IX A-Scoring Criteria'!O133</f>
        <v>0</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4216</v>
      </c>
      <c r="D1688" s="2701"/>
      <c r="E1688" s="2701"/>
      <c r="F1688" s="2701"/>
      <c r="G1688" s="2668" t="str">
        <f>'Part IX A-Scoring Criteria'!G134</f>
        <v>Yes</v>
      </c>
      <c r="H1688" s="2668">
        <f>'Part IX A-Scoring Criteria'!H134</f>
        <v>0</v>
      </c>
      <c r="I1688" s="2598" t="s">
        <v>4219</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Percent not moving to nurshing home of assisted living</v>
      </c>
      <c r="D1689" s="2518">
        <f>'Part IX A-Scoring Criteria'!D135</f>
        <v>0</v>
      </c>
      <c r="E1689" s="2518">
        <f>'Part IX A-Scoring Criteria'!E135</f>
        <v>0</v>
      </c>
      <c r="F1689" s="2518">
        <f>'Part IX A-Scoring Criteria'!F135</f>
        <v>0</v>
      </c>
      <c r="G1689" s="2668" t="str">
        <f>'Part IX A-Scoring Criteria'!G135</f>
        <v>Yes</v>
      </c>
      <c r="H1689" s="2668">
        <f>'Part IX A-Scoring Criteria'!H135</f>
        <v>0</v>
      </c>
      <c r="I1689" s="2518" t="str">
        <f>'Part IX A-Scoring Criteria'!I135</f>
        <v>Average age in the complex over time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t="str">
        <f>'Part IX A-Scoring Criteria'!O135</f>
        <v>Yes</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2003</v>
      </c>
      <c r="C1691" s="2803" t="s">
        <v>3850</v>
      </c>
      <c r="D1691" s="2687"/>
      <c r="E1691" s="2799"/>
      <c r="F1691" s="2687"/>
      <c r="G1691" s="2687"/>
      <c r="H1691" s="2687"/>
      <c r="I1691" s="2687"/>
      <c r="J1691" s="2687"/>
      <c r="K1691" s="2687"/>
      <c r="L1691" s="2711" t="str">
        <f>IF(OR($O1691=$M1691,$O1691=0,$O1691=""),"","* * Check Score! * *")</f>
        <v/>
      </c>
      <c r="M1691" s="1323">
        <v>1</v>
      </c>
      <c r="N1691" s="2785" t="s">
        <v>2003</v>
      </c>
      <c r="O1691" s="2747">
        <f>'Part IX A-Scoring Criteria'!O137</f>
        <v>0</v>
      </c>
      <c r="P1691" s="2747">
        <f>'Part IX A-Scoring Criteria'!P137</f>
        <v>0</v>
      </c>
      <c r="Q1691" s="2787" t="str">
        <f>IF(OR($O1691=$M1691,$O1691=0,$O1691=""),"","*CHECK!*")</f>
        <v/>
      </c>
      <c r="R1691" s="2788" t="s">
        <v>2723</v>
      </c>
      <c r="S1691" s="2815"/>
      <c r="T1691" s="2815"/>
      <c r="U1691" s="2815"/>
      <c r="V1691" s="2799"/>
      <c r="W1691" s="2799"/>
      <c r="X1691" s="2799"/>
      <c r="Y1691" s="2799"/>
      <c r="Z1691" s="2799"/>
    </row>
    <row r="1692" spans="1:26" ht="18.75">
      <c r="A1692" s="2701"/>
      <c r="B1692" s="478"/>
      <c r="C1692" s="478" t="s">
        <v>4038</v>
      </c>
      <c r="D1692" s="2731"/>
      <c r="E1692" s="2731"/>
      <c r="F1692" s="2731"/>
      <c r="G1692" s="2731"/>
      <c r="H1692" s="2731"/>
      <c r="I1692" s="2731"/>
      <c r="J1692" s="2731"/>
      <c r="K1692" s="2731"/>
      <c r="L1692" s="2731"/>
      <c r="M1692" s="2660"/>
      <c r="N1692" s="478"/>
      <c r="O1692" s="2668">
        <f>'Part IX A-Scoring Criteria'!O138</f>
        <v>0</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4812</v>
      </c>
      <c r="D1693" s="2731"/>
      <c r="E1693" s="2731"/>
      <c r="F1693" s="2731"/>
      <c r="G1693" s="2598" t="s">
        <v>4040</v>
      </c>
      <c r="H1693" s="478"/>
      <c r="I1693" s="2731"/>
      <c r="J1693" s="2731"/>
      <c r="K1693" s="2731"/>
      <c r="L1693" s="2731"/>
      <c r="M1693" s="2703" t="s">
        <v>2450</v>
      </c>
      <c r="N1693" s="2703" t="s">
        <v>3812</v>
      </c>
      <c r="O1693" s="2668">
        <f>'Part IX A-Scoring Criteria'!O139</f>
        <v>0</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4041</v>
      </c>
      <c r="H1694" s="478"/>
      <c r="I1694" s="2731"/>
      <c r="J1694" s="2731"/>
      <c r="K1694" s="2731"/>
      <c r="L1694" s="2731"/>
      <c r="M1694" s="2660"/>
      <c r="N1694" s="2713" t="s">
        <v>3813</v>
      </c>
      <c r="O1694" s="2668">
        <f>'Part IX A-Scoring Criteria'!O140</f>
        <v>0</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4042</v>
      </c>
      <c r="H1695" s="478"/>
      <c r="I1695" s="2731"/>
      <c r="J1695" s="2731"/>
      <c r="K1695" s="2731"/>
      <c r="L1695" s="2731"/>
      <c r="M1695" s="2660"/>
      <c r="N1695" s="2703" t="s">
        <v>3814</v>
      </c>
      <c r="O1695" s="2668">
        <f>'Part IX A-Scoring Criteria'!O141</f>
        <v>0</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4043</v>
      </c>
      <c r="H1696" s="478"/>
      <c r="I1696" s="2731"/>
      <c r="J1696" s="2731"/>
      <c r="K1696" s="2731"/>
      <c r="L1696" s="2731"/>
      <c r="M1696" s="2660"/>
      <c r="N1696" s="2703" t="s">
        <v>3816</v>
      </c>
      <c r="O1696" s="2668">
        <f>'Part IX A-Scoring Criteria'!O142</f>
        <v>0</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4044</v>
      </c>
      <c r="H1697" s="478"/>
      <c r="I1697" s="2731"/>
      <c r="J1697" s="2731"/>
      <c r="K1697" s="2731"/>
      <c r="L1697" s="2731"/>
      <c r="M1697" s="2660"/>
      <c r="N1697" s="2713" t="s">
        <v>3817</v>
      </c>
      <c r="O1697" s="2668">
        <f>'Part IX A-Scoring Criteria'!O143</f>
        <v>0</v>
      </c>
      <c r="P1697" s="2668">
        <f>'Part IX A-Scoring Criteria'!P143</f>
        <v>0</v>
      </c>
      <c r="Q1697" s="478"/>
      <c r="R1697" s="478"/>
      <c r="S1697" s="478"/>
      <c r="T1697" s="478"/>
      <c r="U1697" s="478"/>
      <c r="V1697" s="478"/>
      <c r="W1697" s="478"/>
      <c r="X1697" s="478"/>
      <c r="Y1697" s="478"/>
      <c r="Z1697" s="478"/>
    </row>
    <row r="1698" spans="1:26">
      <c r="A1698" s="2701"/>
      <c r="B1698" s="2819"/>
      <c r="C1698" s="2598" t="s">
        <v>4813</v>
      </c>
      <c r="D1698" s="2731"/>
      <c r="E1698" s="2731"/>
      <c r="F1698" s="2731"/>
      <c r="G1698" s="2731"/>
      <c r="H1698" s="2731"/>
      <c r="I1698" s="2731"/>
      <c r="J1698" s="2731"/>
      <c r="K1698" s="2731"/>
      <c r="L1698" s="2731"/>
      <c r="M1698" s="2703"/>
      <c r="N1698" s="2703" t="s">
        <v>2451</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3865</v>
      </c>
      <c r="D1699" s="1156"/>
      <c r="E1699" s="478"/>
      <c r="F1699" s="478"/>
      <c r="G1699" s="1156" t="s">
        <v>4186</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c r="A1700" s="2701"/>
      <c r="B1700" s="2703"/>
      <c r="C1700" s="2662">
        <f>'Part IX A-Scoring Criteria'!C146</f>
        <v>0</v>
      </c>
      <c r="D1700" s="2662">
        <f>'Part IX A-Scoring Criteria'!D146</f>
        <v>0</v>
      </c>
      <c r="E1700" s="2662">
        <f>'Part IX A-Scoring Criteria'!E146</f>
        <v>0</v>
      </c>
      <c r="F1700" s="2662">
        <f>'Part IX A-Scoring Criteria'!F146</f>
        <v>0</v>
      </c>
      <c r="G1700" s="2662">
        <f>'Part IX A-Scoring Criteria'!G146</f>
        <v>0</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c r="A1701" s="2701"/>
      <c r="B1701" s="2713"/>
      <c r="C1701" s="2662">
        <f>'Part IX A-Scoring Criteria'!C147</f>
        <v>0</v>
      </c>
      <c r="D1701" s="2662">
        <f>'Part IX A-Scoring Criteria'!D147</f>
        <v>0</v>
      </c>
      <c r="E1701" s="2662">
        <f>'Part IX A-Scoring Criteria'!E147</f>
        <v>0</v>
      </c>
      <c r="F1701" s="2662">
        <f>'Part IX A-Scoring Criteria'!F147</f>
        <v>0</v>
      </c>
      <c r="G1701" s="2662">
        <f>'Part IX A-Scoring Criteria'!G147</f>
        <v>0</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4220</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779</v>
      </c>
      <c r="B1707" s="2750" t="s">
        <v>4008</v>
      </c>
      <c r="C1707" s="2665"/>
      <c r="D1707" s="2665"/>
      <c r="E1707" s="2665"/>
      <c r="F1707" s="2665"/>
      <c r="G1707" s="2665"/>
      <c r="H1707" s="2665"/>
      <c r="I1707" s="2665"/>
      <c r="J1707" s="2665"/>
      <c r="K1707" s="2665"/>
      <c r="L1707" s="2665"/>
      <c r="M1707" s="2563">
        <v>5</v>
      </c>
      <c r="N1707" s="2783"/>
      <c r="O1707" s="2747">
        <f>'Part IX A-Scoring Criteria'!O153</f>
        <v>0</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1998</v>
      </c>
      <c r="B1709" s="2544" t="s">
        <v>4048</v>
      </c>
      <c r="C1709" s="2766"/>
      <c r="D1709" s="2813"/>
      <c r="E1709" s="2813"/>
      <c r="F1709" s="2766"/>
      <c r="G1709" s="2813"/>
      <c r="H1709" s="2813"/>
      <c r="I1709" s="2813"/>
      <c r="J1709" s="2813"/>
      <c r="K1709" s="2813"/>
      <c r="L1709" s="2813"/>
      <c r="M1709" s="2554">
        <v>3</v>
      </c>
      <c r="N1709" s="2785"/>
      <c r="O1709" s="2554">
        <f>'Part IX A-Scoring Criteria'!O155</f>
        <v>0</v>
      </c>
      <c r="P1709" s="2554">
        <f>'Part IX A-Scoring Criteria'!P155</f>
        <v>0</v>
      </c>
      <c r="Q1709" s="2766"/>
      <c r="R1709" s="2357"/>
      <c r="S1709" s="2766"/>
      <c r="T1709" s="2766"/>
      <c r="U1709" s="2766"/>
      <c r="V1709" s="2766"/>
      <c r="W1709" s="2766"/>
      <c r="X1709" s="2766"/>
      <c r="Y1709" s="2766"/>
      <c r="Z1709" s="2766"/>
    </row>
    <row r="1710" spans="1:26" ht="15">
      <c r="A1710" s="2748"/>
      <c r="B1710" s="2598" t="s">
        <v>3859</v>
      </c>
      <c r="C1710" s="2736"/>
      <c r="D1710" s="2736"/>
      <c r="E1710" s="2736"/>
      <c r="F1710" s="2736"/>
      <c r="G1710" s="2736"/>
      <c r="H1710" s="2736"/>
      <c r="I1710" s="2736"/>
      <c r="J1710" s="2736"/>
      <c r="K1710" s="2736"/>
      <c r="L1710" s="2736"/>
      <c r="M1710" s="2736"/>
      <c r="N1710" s="2736"/>
      <c r="O1710" s="2668" t="str">
        <f>'Part IX A-Scoring Criteria'!O156</f>
        <v>No</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4814</v>
      </c>
      <c r="C1712" s="2662"/>
      <c r="D1712" s="2662"/>
      <c r="E1712" s="478" t="s">
        <v>3856</v>
      </c>
      <c r="F1712" s="2766"/>
      <c r="G1712" s="478"/>
      <c r="H1712" s="2766"/>
      <c r="I1712" s="2627">
        <f>'Part IX A-Scoring Criteria'!I158</f>
        <v>0</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3858</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2923</v>
      </c>
      <c r="F1714" s="478" t="str">
        <f>'Part I-Project Information'!$H$78</f>
        <v>Family</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3854</v>
      </c>
      <c r="I1715" s="2627" t="s">
        <v>3900</v>
      </c>
      <c r="J1715" s="2627"/>
      <c r="K1715" s="2627"/>
      <c r="L1715" s="2627"/>
      <c r="M1715" s="2435" t="s">
        <v>3853</v>
      </c>
      <c r="N1715" s="2435"/>
      <c r="O1715" s="2435" t="s">
        <v>3857</v>
      </c>
      <c r="P1715" s="2435"/>
      <c r="Q1715" s="2627"/>
      <c r="R1715" s="2748"/>
      <c r="S1715" s="2748"/>
      <c r="T1715" s="2748"/>
      <c r="U1715" s="2748"/>
      <c r="V1715" s="2748"/>
      <c r="W1715" s="2748"/>
      <c r="X1715" s="2748"/>
      <c r="Y1715" s="2748"/>
      <c r="Z1715" s="2748"/>
    </row>
    <row r="1716" spans="1:26" ht="23.25">
      <c r="A1716" s="2581"/>
      <c r="B1716" s="2826" t="s">
        <v>3851</v>
      </c>
      <c r="C1716" s="2592"/>
      <c r="D1716" s="2357" t="s">
        <v>4815</v>
      </c>
      <c r="E1716" s="2357"/>
      <c r="F1716" s="2357"/>
      <c r="G1716" s="2686" t="s">
        <v>3419</v>
      </c>
      <c r="H1716" s="2670"/>
      <c r="I1716" s="2712">
        <v>2014</v>
      </c>
      <c r="J1716" s="2712">
        <v>2015</v>
      </c>
      <c r="K1716" s="2712">
        <v>2016</v>
      </c>
      <c r="L1716" s="2712">
        <v>2017</v>
      </c>
      <c r="M1716" s="2435"/>
      <c r="N1716" s="2435"/>
      <c r="O1716" s="2435"/>
      <c r="P1716" s="2435"/>
      <c r="Q1716" s="2827" t="s">
        <v>3852</v>
      </c>
      <c r="R1716" s="2827"/>
      <c r="S1716" s="2748"/>
      <c r="T1716" s="2748"/>
      <c r="U1716" s="2748"/>
      <c r="V1716" s="2748"/>
      <c r="W1716" s="2748"/>
      <c r="X1716" s="2748"/>
      <c r="Y1716" s="2748"/>
      <c r="Z1716" s="2748"/>
    </row>
    <row r="1717" spans="1:26" ht="15">
      <c r="A1717" s="2703" t="s">
        <v>2450</v>
      </c>
      <c r="B1717" s="2634" t="s">
        <v>4047</v>
      </c>
      <c r="C1717" s="2748"/>
      <c r="D1717" s="2627">
        <f>'Part IX A-Scoring Criteria'!D163</f>
        <v>0</v>
      </c>
      <c r="E1717" s="2627">
        <f>'Part IX A-Scoring Criteria'!E163</f>
        <v>0</v>
      </c>
      <c r="F1717" s="2627">
        <f>'Part IX A-Scoring Criteria'!F163</f>
        <v>0</v>
      </c>
      <c r="G1717" s="2828">
        <f>'Part IX A-Scoring Criteria'!G163</f>
        <v>0</v>
      </c>
      <c r="H1717" s="2694">
        <f>'Part IX A-Scoring Criteria'!H163</f>
        <v>0</v>
      </c>
      <c r="I1717" s="2829">
        <f>'Part IX A-Scoring Criteria'!I163</f>
        <v>0</v>
      </c>
      <c r="J1717" s="2829">
        <f>'Part IX A-Scoring Criteria'!J163</f>
        <v>0</v>
      </c>
      <c r="K1717" s="2829">
        <f>'Part IX A-Scoring Criteria'!K163</f>
        <v>0</v>
      </c>
      <c r="L1717" s="2829">
        <f>'Part IX A-Scoring Criteria'!L163</f>
        <v>0</v>
      </c>
      <c r="M1717" s="2830" t="str">
        <f>IF(I1717+J1717+K1717+L1717=0,"",AVERAGE(I1717,J1717,K1717,L1717))</f>
        <v/>
      </c>
      <c r="N1717" s="2830"/>
      <c r="O1717" s="2557" t="str">
        <f>IF(M1717="","",IF(M1717&gt;Q1717,"Yes",IF(M1717&lt;Q1717,"No","")))</f>
        <v/>
      </c>
      <c r="P1717" s="2748"/>
      <c r="Q1717" s="2368">
        <v>73.400000000000006</v>
      </c>
      <c r="R1717" s="2368"/>
      <c r="S1717" s="2748"/>
      <c r="T1717" s="2748"/>
      <c r="U1717" s="2748"/>
      <c r="V1717" s="2748"/>
      <c r="W1717" s="2748"/>
      <c r="X1717" s="2748"/>
      <c r="Y1717" s="2748"/>
      <c r="Z1717" s="2748"/>
    </row>
    <row r="1718" spans="1:26" ht="15">
      <c r="A1718" s="2713" t="s">
        <v>2451</v>
      </c>
      <c r="B1718" s="2634" t="s">
        <v>4221</v>
      </c>
      <c r="C1718" s="2748"/>
      <c r="D1718" s="2627">
        <f>'Part IX A-Scoring Criteria'!D164</f>
        <v>0</v>
      </c>
      <c r="E1718" s="2627">
        <f>'Part IX A-Scoring Criteria'!E164</f>
        <v>0</v>
      </c>
      <c r="F1718" s="2627">
        <f>'Part IX A-Scoring Criteria'!F164</f>
        <v>0</v>
      </c>
      <c r="G1718" s="2828">
        <f>'Part IX A-Scoring Criteria'!G164</f>
        <v>0</v>
      </c>
      <c r="H1718" s="2694">
        <f>'Part IX A-Scoring Criteria'!H164</f>
        <v>0</v>
      </c>
      <c r="I1718" s="2829">
        <f>'Part IX A-Scoring Criteria'!I164</f>
        <v>0</v>
      </c>
      <c r="J1718" s="2829">
        <f>'Part IX A-Scoring Criteria'!J164</f>
        <v>0</v>
      </c>
      <c r="K1718" s="2829">
        <f>'Part IX A-Scoring Criteria'!K164</f>
        <v>0</v>
      </c>
      <c r="L1718" s="2829">
        <f>'Part IX A-Scoring Criteria'!L164</f>
        <v>0</v>
      </c>
      <c r="M1718" s="2830" t="str">
        <f>IF(I1718+J1718+K1718+L1718=0,"",AVERAGE(I1718,J1718,K1718,L1718))</f>
        <v/>
      </c>
      <c r="N1718" s="2830"/>
      <c r="O1718" s="2557" t="str">
        <f>IF(M1718="","",IF(M1718&gt;Q1718,"Yes",IF(M1718&lt;Q1718,"No","")))</f>
        <v/>
      </c>
      <c r="P1718" s="2748"/>
      <c r="Q1718" s="2368">
        <v>72.099999999999994</v>
      </c>
      <c r="R1718" s="2368"/>
      <c r="S1718" s="2748"/>
      <c r="T1718" s="2748"/>
      <c r="U1718" s="2748"/>
      <c r="V1718" s="2748"/>
      <c r="W1718" s="2748"/>
      <c r="X1718" s="2748"/>
      <c r="Y1718" s="2748"/>
      <c r="Z1718" s="2748"/>
    </row>
    <row r="1719" spans="1:26" ht="15">
      <c r="A1719" s="2703" t="s">
        <v>2452</v>
      </c>
      <c r="B1719" s="2634" t="s">
        <v>4045</v>
      </c>
      <c r="C1719" s="2748"/>
      <c r="D1719" s="2627">
        <f>'Part IX A-Scoring Criteria'!D165</f>
        <v>0</v>
      </c>
      <c r="E1719" s="2627">
        <f>'Part IX A-Scoring Criteria'!E165</f>
        <v>0</v>
      </c>
      <c r="F1719" s="2627">
        <f>'Part IX A-Scoring Criteria'!F165</f>
        <v>0</v>
      </c>
      <c r="G1719" s="2828">
        <f>'Part IX A-Scoring Criteria'!G165</f>
        <v>0</v>
      </c>
      <c r="H1719" s="2694">
        <f>'Part IX A-Scoring Criteria'!H165</f>
        <v>0</v>
      </c>
      <c r="I1719" s="2829">
        <f>'Part IX A-Scoring Criteria'!I165</f>
        <v>0</v>
      </c>
      <c r="J1719" s="2829">
        <f>'Part IX A-Scoring Criteria'!J165</f>
        <v>0</v>
      </c>
      <c r="K1719" s="2829">
        <f>'Part IX A-Scoring Criteria'!K165</f>
        <v>0</v>
      </c>
      <c r="L1719" s="2829">
        <f>'Part IX A-Scoring Criteria'!L165</f>
        <v>0</v>
      </c>
      <c r="M1719" s="2830" t="str">
        <f>IF(I1719+J1719+K1719+L1719=0,"",AVERAGE(I1719,J1719,K1719,L1719))</f>
        <v/>
      </c>
      <c r="N1719" s="2830"/>
      <c r="O1719" s="2557" t="str">
        <f>IF(M1719="","",IF(M1719&gt;Q1719,"Yes",IF(M1719&lt;Q1719,"No","")))</f>
        <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2453</v>
      </c>
      <c r="B1721" s="2726" t="s">
        <v>4047</v>
      </c>
      <c r="C1721" s="2748"/>
      <c r="D1721" s="2736">
        <f>IF(D1717="","",D1717)</f>
        <v>0</v>
      </c>
      <c r="E1721" s="2748"/>
      <c r="F1721" s="2748"/>
      <c r="G1721" s="2712">
        <f t="shared" ref="G1721:H1723" si="325">IF(G1717="","",G1717)</f>
        <v>0</v>
      </c>
      <c r="H1721" s="2712">
        <f t="shared" si="325"/>
        <v>0</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2454</v>
      </c>
      <c r="B1722" s="2726" t="s">
        <v>4046</v>
      </c>
      <c r="C1722" s="2748"/>
      <c r="D1722" s="2736">
        <f>IF(D1718="","",D1718)</f>
        <v>0</v>
      </c>
      <c r="E1722" s="2748"/>
      <c r="F1722" s="2748"/>
      <c r="G1722" s="2712">
        <f t="shared" si="325"/>
        <v>0</v>
      </c>
      <c r="H1722" s="2712">
        <f t="shared" si="325"/>
        <v>0</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2470</v>
      </c>
      <c r="B1723" s="2726" t="s">
        <v>4045</v>
      </c>
      <c r="C1723" s="2748"/>
      <c r="D1723" s="2736">
        <f>IF(D1719="","",D1719)</f>
        <v>0</v>
      </c>
      <c r="E1723" s="2748"/>
      <c r="F1723" s="2748"/>
      <c r="G1723" s="2712">
        <f t="shared" si="325"/>
        <v>0</v>
      </c>
      <c r="H1723" s="2712">
        <f t="shared" si="325"/>
        <v>0</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2000</v>
      </c>
      <c r="B1725" s="2544" t="s">
        <v>4049</v>
      </c>
      <c r="C1725" s="2766"/>
      <c r="D1725" s="2813"/>
      <c r="E1725" s="2813"/>
      <c r="F1725" s="2797" t="s">
        <v>3412</v>
      </c>
      <c r="G1725" s="2766"/>
      <c r="H1725" s="2598" t="s">
        <v>3901</v>
      </c>
      <c r="I1725" s="2766"/>
      <c r="J1725" s="2766"/>
      <c r="K1725" s="2766"/>
      <c r="L1725" s="2766"/>
      <c r="M1725" s="2554">
        <v>2</v>
      </c>
      <c r="N1725" s="2785"/>
      <c r="O1725" s="2747">
        <f>'Part IX A-Scoring Criteria'!O171</f>
        <v>0</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4224</v>
      </c>
      <c r="F1726" s="2832" t="s">
        <v>3687</v>
      </c>
      <c r="G1726" s="2558" t="s">
        <v>3420</v>
      </c>
      <c r="H1726" s="2558"/>
      <c r="I1726" s="2558"/>
      <c r="J1726" s="2558"/>
      <c r="K1726" s="2558"/>
      <c r="L1726" s="2558"/>
      <c r="M1726" s="2558"/>
      <c r="N1726" s="2558"/>
      <c r="O1726" s="1156"/>
      <c r="P1726" s="2737"/>
      <c r="Q1726" s="1156"/>
      <c r="R1726" s="1156" t="s">
        <v>2850</v>
      </c>
      <c r="S1726" s="1156"/>
      <c r="T1726" s="2725" t="str">
        <f>'Part I-Project Information'!$F$38</f>
        <v>Dublin</v>
      </c>
      <c r="U1726" s="2725"/>
      <c r="V1726" s="2725"/>
      <c r="W1726" s="2725"/>
      <c r="X1726" s="2725"/>
      <c r="Y1726" s="1156"/>
      <c r="Z1726" s="1156"/>
    </row>
    <row r="1727" spans="1:26" ht="12.75" customHeight="1">
      <c r="A1727" s="2701"/>
      <c r="B1727" s="2832" t="s">
        <v>4052</v>
      </c>
      <c r="C1727" s="2832"/>
      <c r="D1727" s="2832"/>
      <c r="E1727" s="2832"/>
      <c r="F1727" s="2832"/>
      <c r="G1727" s="2662" t="s">
        <v>4051</v>
      </c>
      <c r="H1727" s="2662"/>
      <c r="I1727" s="2662"/>
      <c r="J1727" s="2662"/>
      <c r="K1727" s="2662"/>
      <c r="L1727" s="2662"/>
      <c r="M1727" s="2662"/>
      <c r="N1727" s="2662"/>
      <c r="O1727" s="2832" t="s">
        <v>3688</v>
      </c>
      <c r="P1727" s="2832"/>
      <c r="Q1727" s="1156"/>
      <c r="R1727" s="2725" t="s">
        <v>2851</v>
      </c>
      <c r="S1727" s="1156"/>
      <c r="T1727" s="2725" t="str">
        <f>'Part I-Project Information'!$J$39</f>
        <v>Laurens</v>
      </c>
      <c r="U1727" s="2725"/>
      <c r="V1727" s="2725"/>
      <c r="W1727" s="2725"/>
      <c r="X1727" s="2725"/>
      <c r="Y1727" s="1156"/>
      <c r="Z1727" s="1156"/>
    </row>
    <row r="1728" spans="1:26">
      <c r="A1728" s="2701"/>
      <c r="B1728" s="478" t="s">
        <v>3860</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2852</v>
      </c>
      <c r="S1728" s="1156"/>
      <c r="T1728" s="2725" t="str">
        <f>'Part I-Project Information'!$O$40</f>
        <v>Laurens Co.</v>
      </c>
      <c r="U1728" s="2725"/>
      <c r="V1728" s="2725"/>
      <c r="W1728" s="2725"/>
      <c r="X1728" s="2725"/>
      <c r="Y1728" s="1156"/>
      <c r="Z1728" s="1156"/>
    </row>
    <row r="1729" spans="1:26" ht="12.75" customHeight="1">
      <c r="A1729" s="2701"/>
      <c r="B1729" s="2627" t="s">
        <v>4050</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3894</v>
      </c>
      <c r="S1729" s="478"/>
      <c r="T1729" s="478" t="str">
        <f>VLOOKUP('Part I-Project Information'!$J$39,'DCA Underwriting Assumptions'!$G$155:$J$314,4)</f>
        <v>Non-MSA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3895</v>
      </c>
      <c r="C1731" s="1156"/>
      <c r="D1731" s="1156"/>
      <c r="E1731" s="2836"/>
      <c r="F1731" s="2836"/>
      <c r="G1731" s="2836"/>
      <c r="H1731" s="1156"/>
      <c r="I1731" s="2836">
        <f>'Part IX A-Scoring Criteria'!I177</f>
        <v>0</v>
      </c>
      <c r="J1731" s="2836">
        <f>'Part IX A-Scoring Criteria'!J177</f>
        <v>0</v>
      </c>
      <c r="K1731" s="1156"/>
      <c r="L1731" s="1156"/>
      <c r="M1731" s="1156"/>
      <c r="N1731" s="1156"/>
      <c r="O1731" s="1156"/>
      <c r="P1731" s="1156"/>
      <c r="Q1731" s="1156"/>
      <c r="R1731" s="1156" t="s">
        <v>3653</v>
      </c>
      <c r="S1731" s="1156"/>
      <c r="T1731" s="2725" t="str">
        <f>'Part I-Project Information'!$K$40</f>
        <v>Rural</v>
      </c>
      <c r="U1731" s="2725"/>
      <c r="V1731" s="2725"/>
      <c r="W1731" s="2725"/>
      <c r="X1731" s="2725"/>
      <c r="Y1731" s="1156"/>
      <c r="Z1731" s="1156"/>
    </row>
    <row r="1732" spans="1:26" ht="13.5">
      <c r="A1732" s="2726"/>
      <c r="B1732" s="2736" t="s">
        <v>3652</v>
      </c>
      <c r="C1732" s="1156"/>
      <c r="D1732" s="1156"/>
      <c r="E1732" s="1156"/>
      <c r="F1732" s="1156"/>
      <c r="G1732" s="1156"/>
      <c r="H1732" s="2837" t="str">
        <f>IF(I1732&lt;I1731,"Threshold not met!","")</f>
        <v/>
      </c>
      <c r="I1732" s="2836">
        <f>'Part IX A-Scoring Criteria'!I178</f>
        <v>0</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2001</v>
      </c>
      <c r="C1734" s="478" t="s">
        <v>4223</v>
      </c>
      <c r="D1734" s="2725"/>
      <c r="E1734" s="2725"/>
      <c r="F1734" s="2725"/>
      <c r="G1734" s="2725"/>
      <c r="H1734" s="2838" t="s">
        <v>2001</v>
      </c>
      <c r="I1734" s="2709" t="str">
        <f>'Part IX A-Scoring Criteria'!I180</f>
        <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1364</v>
      </c>
      <c r="B1735" s="2777" t="s">
        <v>2003</v>
      </c>
      <c r="C1735" s="478" t="s">
        <v>4053</v>
      </c>
      <c r="D1735" s="2825"/>
      <c r="E1735" s="2825"/>
      <c r="F1735" s="2825"/>
      <c r="G1735" s="1156"/>
      <c r="H1735" s="2838" t="s">
        <v>2003</v>
      </c>
      <c r="I1735" s="2839" t="str">
        <f>'Part IX A-Scoring Criteria'!I181</f>
        <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3919</v>
      </c>
      <c r="D1736" s="2825"/>
      <c r="E1736" s="2825"/>
      <c r="F1736" s="2825"/>
      <c r="G1736" s="2814"/>
      <c r="H1736" s="1156"/>
      <c r="I1736" s="2718">
        <f>'Part IX A-Scoring Criteria'!I182</f>
        <v>0</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3784</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213.75">
      <c r="A1739" s="2662" t="str">
        <f>'Part IX A-Scoring Criteria'!A185</f>
        <v>We checked all City of Dublin schools and none of them meet the criteria for quality education.  Almost all the schools had scores less than 70 for the entire three years and some as low as 50.</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1879</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4059</v>
      </c>
      <c r="C1743" s="2766"/>
      <c r="D1743" s="2767"/>
      <c r="E1743" s="2767"/>
      <c r="F1743" s="2766"/>
      <c r="G1743" s="2766"/>
      <c r="H1743" s="2599" t="s">
        <v>4060</v>
      </c>
      <c r="I1743" s="2840"/>
      <c r="J1743" s="2840"/>
      <c r="K1743" s="2660"/>
      <c r="L1743" s="2660"/>
      <c r="M1743" s="2563">
        <v>7</v>
      </c>
      <c r="N1743" s="2554"/>
      <c r="O1743" s="2747">
        <f>'Part IX A-Scoring Criteria'!O189</f>
        <v>0</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4816</v>
      </c>
      <c r="C1745" s="2570"/>
      <c r="D1745" s="2570"/>
      <c r="E1745" s="2357" t="s">
        <v>4233</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2526</v>
      </c>
      <c r="L1746" s="2712" t="s">
        <v>2526</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2450</v>
      </c>
      <c r="C1747" s="2662" t="s">
        <v>4188</v>
      </c>
      <c r="D1747" s="2662"/>
      <c r="E1747" s="2662"/>
      <c r="F1747" s="2662"/>
      <c r="G1747" s="2662"/>
      <c r="H1747" s="2662"/>
      <c r="I1747" s="2662"/>
      <c r="J1747" s="2713" t="s">
        <v>2450</v>
      </c>
      <c r="K1747" s="2668">
        <f>'Part IX A-Scoring Criteria'!K193</f>
        <v>0</v>
      </c>
      <c r="L1747" s="2668">
        <f>'Part IX A-Scoring Criteria'!L193</f>
        <v>0</v>
      </c>
      <c r="M1747" s="2842" t="str">
        <f>'Part IX A-Scoring Criteria'!M193</f>
        <v>&lt;Enter page nbr(s) from Plan&gt;</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2451</v>
      </c>
      <c r="C1749" s="2662" t="s">
        <v>4817</v>
      </c>
      <c r="D1749" s="2662"/>
      <c r="E1749" s="2662"/>
      <c r="F1749" s="2662"/>
      <c r="G1749" s="2662"/>
      <c r="H1749" s="2748"/>
      <c r="I1749" s="2748"/>
      <c r="J1749" s="2703" t="s">
        <v>2451</v>
      </c>
      <c r="K1749" s="2668">
        <f>'Part IX A-Scoring Criteria'!K195</f>
        <v>0</v>
      </c>
      <c r="L1749" s="2668">
        <f>'Part IX A-Scoring Criteria'!L195</f>
        <v>0</v>
      </c>
      <c r="M1749" s="2842" t="str">
        <f>'Part IX A-Scoring Criteria'!M195</f>
        <v>&lt;Enter page nbr(s) from Plan&gt;</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2452</v>
      </c>
      <c r="C1750" s="2687" t="s">
        <v>2842</v>
      </c>
      <c r="D1750" s="2687"/>
      <c r="E1750" s="2687"/>
      <c r="F1750" s="2687"/>
      <c r="G1750" s="2687"/>
      <c r="H1750" s="2687"/>
      <c r="I1750" s="2679"/>
      <c r="J1750" s="2713" t="s">
        <v>2452</v>
      </c>
      <c r="K1750" s="2668">
        <f>'Part IX A-Scoring Criteria'!K196</f>
        <v>0</v>
      </c>
      <c r="L1750" s="2668">
        <f>'Part IX A-Scoring Criteria'!L196</f>
        <v>0</v>
      </c>
      <c r="M1750" s="2842" t="str">
        <f>'Part IX A-Scoring Criteria'!M196</f>
        <v>&lt;Enter page nbr(s) from Plan&gt;</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2453</v>
      </c>
      <c r="C1751" s="2763" t="s">
        <v>4064</v>
      </c>
      <c r="D1751" s="2687"/>
      <c r="E1751" s="2687"/>
      <c r="F1751" s="2687"/>
      <c r="G1751" s="2687"/>
      <c r="H1751" s="2687"/>
      <c r="I1751" s="2679"/>
      <c r="J1751" s="2713" t="s">
        <v>2453</v>
      </c>
      <c r="K1751" s="2668">
        <f>'Part IX A-Scoring Criteria'!K197</f>
        <v>0</v>
      </c>
      <c r="L1751" s="2668">
        <f>'Part IX A-Scoring Criteria'!L197</f>
        <v>0</v>
      </c>
      <c r="M1751" s="2842" t="str">
        <f>'Part IX A-Scoring Criteria'!M197</f>
        <v>&lt;Enter page nbr(s) from Plan&gt;</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4231</v>
      </c>
      <c r="E1752" s="2687"/>
      <c r="F1752" s="2679"/>
      <c r="G1752" s="2679"/>
      <c r="H1752" s="2687"/>
      <c r="I1752" s="2679"/>
      <c r="J1752" s="2713"/>
      <c r="K1752" s="2668">
        <f>'Part IX A-Scoring Criteria'!K198</f>
        <v>0</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2454</v>
      </c>
      <c r="C1753" s="2687" t="s">
        <v>4054</v>
      </c>
      <c r="D1753" s="2687"/>
      <c r="E1753" s="2687"/>
      <c r="F1753" s="2687"/>
      <c r="G1753" s="2687"/>
      <c r="H1753" s="2687"/>
      <c r="I1753" s="2679"/>
      <c r="J1753" s="2713" t="s">
        <v>2454</v>
      </c>
      <c r="K1753" s="2668">
        <f>'Part IX A-Scoring Criteria'!K199</f>
        <v>0</v>
      </c>
      <c r="L1753" s="2668">
        <f>'Part IX A-Scoring Criteria'!L199</f>
        <v>0</v>
      </c>
      <c r="M1753" s="2842" t="str">
        <f>'Part IX A-Scoring Criteria'!M199</f>
        <v>&lt;Enter page nbr(s) from Plan&gt;</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2470</v>
      </c>
      <c r="C1754" s="2687" t="s">
        <v>2843</v>
      </c>
      <c r="D1754" s="2687"/>
      <c r="E1754" s="2687"/>
      <c r="F1754" s="2687"/>
      <c r="G1754" s="2687"/>
      <c r="H1754" s="2679"/>
      <c r="I1754" s="2679"/>
      <c r="J1754" s="2713" t="s">
        <v>2470</v>
      </c>
      <c r="K1754" s="2668">
        <f>'Part IX A-Scoring Criteria'!K200</f>
        <v>0</v>
      </c>
      <c r="L1754" s="2668">
        <f>'Part IX A-Scoring Criteria'!L200</f>
        <v>0</v>
      </c>
      <c r="M1754" s="2842" t="str">
        <f>'Part IX A-Scoring Criteria'!M200</f>
        <v>&lt;Enter page nbr(s) from Plan&gt;</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2471</v>
      </c>
      <c r="C1755" s="2687" t="s">
        <v>4055</v>
      </c>
      <c r="D1755" s="2687"/>
      <c r="E1755" s="2687"/>
      <c r="F1755" s="2687"/>
      <c r="G1755" s="2679"/>
      <c r="H1755" s="2679"/>
      <c r="I1755" s="2679"/>
      <c r="J1755" s="2713" t="s">
        <v>2471</v>
      </c>
      <c r="K1755" s="2668">
        <f>'Part IX A-Scoring Criteria'!K201</f>
        <v>0</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4056</v>
      </c>
      <c r="E1756" s="2687"/>
      <c r="F1756" s="2844">
        <f>'Part IX A-Scoring Criteria'!F202</f>
        <v>0</v>
      </c>
      <c r="G1756" s="2844">
        <f>'Part IX A-Scoring Criteria'!G202</f>
        <v>0</v>
      </c>
      <c r="H1756" s="2679"/>
      <c r="I1756" s="2687" t="s">
        <v>4057</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2472</v>
      </c>
      <c r="C1757" s="2687" t="s">
        <v>4818</v>
      </c>
      <c r="D1757" s="2687"/>
      <c r="E1757" s="2687"/>
      <c r="F1757" s="2687"/>
      <c r="G1757" s="2679"/>
      <c r="H1757" s="2679"/>
      <c r="I1757" s="2679"/>
      <c r="J1757" s="2713" t="s">
        <v>2472</v>
      </c>
      <c r="K1757" s="2668">
        <f>'Part IX A-Scoring Criteria'!K203</f>
        <v>0</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c r="B1759" s="2695" t="s">
        <v>4189</v>
      </c>
      <c r="E1759" s="2355"/>
      <c r="G1759" s="2810">
        <f>'Part IX A-Scoring Criteria'!G205</f>
        <v>0</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1998</v>
      </c>
      <c r="B1761" s="2570" t="s">
        <v>4058</v>
      </c>
      <c r="M1761" s="2554">
        <v>5</v>
      </c>
      <c r="N1761" s="2701" t="s">
        <v>1998</v>
      </c>
      <c r="O1761" s="2845">
        <f>'Part IX A-Scoring Criteria'!O207</f>
        <v>0</v>
      </c>
      <c r="P1761" s="2845">
        <f>'Part IX A-Scoring Criteria'!P207</f>
        <v>0</v>
      </c>
      <c r="Q1761" s="2407"/>
      <c r="X1761" s="2552"/>
      <c r="Y1761" s="2703"/>
    </row>
    <row r="1762" spans="1:26" ht="12.75" customHeight="1">
      <c r="A1762" s="2701"/>
      <c r="B1762" s="2824" t="s">
        <v>2001</v>
      </c>
      <c r="C1762" s="2662" t="s">
        <v>4819</v>
      </c>
      <c r="D1762" s="2662"/>
      <c r="E1762" s="2662"/>
      <c r="F1762" s="2662"/>
      <c r="G1762" s="2662"/>
      <c r="H1762" s="2662"/>
      <c r="I1762" s="2662"/>
      <c r="J1762" s="2662"/>
      <c r="K1762" s="2662"/>
      <c r="L1762" s="2711" t="str">
        <f>IF(OR($O1762=$M1762,$O1762=0,$O1762=""),"","* * Check Score! * *")</f>
        <v/>
      </c>
      <c r="M1762" s="2717">
        <v>3</v>
      </c>
      <c r="N1762" s="2793" t="s">
        <v>2001</v>
      </c>
      <c r="O1762" s="2786">
        <f>'Part IX A-Scoring Criteria'!O208</f>
        <v>0</v>
      </c>
      <c r="P1762" s="2786">
        <f>'Part IX A-Scoring Criteria'!P208</f>
        <v>0</v>
      </c>
      <c r="Q1762" s="2787" t="str">
        <f>IF(OR($O1762=$M1762,$O1762=0,$O1762=""),"","*CHECK!*")</f>
        <v/>
      </c>
      <c r="R1762" s="2352" t="s">
        <v>2723</v>
      </c>
    </row>
    <row r="1763" spans="1:26" ht="12.75" customHeight="1">
      <c r="A1763" s="2701"/>
      <c r="B1763" s="2824" t="s">
        <v>2003</v>
      </c>
      <c r="C1763" s="2737" t="s">
        <v>4820</v>
      </c>
      <c r="D1763" s="2737"/>
      <c r="E1763" s="2737"/>
      <c r="F1763" s="2737"/>
      <c r="G1763" s="2737"/>
      <c r="H1763" s="2737"/>
      <c r="I1763" s="2737"/>
      <c r="J1763" s="2737"/>
      <c r="K1763" s="2737"/>
      <c r="L1763" s="2711" t="str">
        <f>IF(OR($O1763=$M1763,$O1763=0,$O1763=""),"","* * Check Score! * *")</f>
        <v/>
      </c>
      <c r="M1763" s="2717">
        <v>2</v>
      </c>
      <c r="N1763" s="2793" t="s">
        <v>2003</v>
      </c>
      <c r="O1763" s="2786">
        <f>'Part IX A-Scoring Criteria'!O209</f>
        <v>0</v>
      </c>
      <c r="P1763" s="2786">
        <f>'Part IX A-Scoring Criteria'!P209</f>
        <v>0</v>
      </c>
      <c r="Q1763" s="2787" t="str">
        <f>IF(OR($O1763=$M1763,$O1763=0,$O1763=""),"","*CHECK!*")</f>
        <v/>
      </c>
      <c r="R1763" s="2352" t="s">
        <v>2723</v>
      </c>
    </row>
    <row r="1764" spans="1:26">
      <c r="A1764" s="2701"/>
      <c r="B1764" s="2736"/>
      <c r="C1764" s="2736" t="s">
        <v>3809</v>
      </c>
      <c r="E1764" s="2736" t="str">
        <f>'Part I-Project Information'!$N$39</f>
        <v>Yes</v>
      </c>
      <c r="G1764" s="2736" t="s">
        <v>3599</v>
      </c>
      <c r="I1764" s="2846" t="str">
        <f>'Part I-Project Information'!$O$38</f>
        <v>9504</v>
      </c>
      <c r="J1764" s="2846"/>
      <c r="K1764" s="2598" t="s">
        <v>3396</v>
      </c>
      <c r="M1764" s="2598" t="str">
        <f>'Part IV-A-Uses of Funds'!$H$152</f>
        <v>DDA/QCT</v>
      </c>
    </row>
    <row r="1765" spans="1:26">
      <c r="A1765" s="2701"/>
      <c r="B1765" s="2736"/>
      <c r="D1765" s="2712"/>
      <c r="E1765" s="2736"/>
      <c r="G1765" s="2598"/>
      <c r="K1765" s="2598"/>
      <c r="L1765" s="2598"/>
    </row>
    <row r="1766" spans="1:26">
      <c r="A1766" s="2581" t="s">
        <v>2000</v>
      </c>
      <c r="B1766" s="2570" t="s">
        <v>4061</v>
      </c>
      <c r="D1766" s="2355"/>
      <c r="K1766" s="2586"/>
      <c r="L1766" s="2711" t="str">
        <f>IF(OR($O1766=$M1766,$O1766=0,$O1766=""),"","* * Check Score! * *")</f>
        <v/>
      </c>
      <c r="M1766" s="2554">
        <v>2</v>
      </c>
      <c r="N1766" s="2701" t="s">
        <v>2000</v>
      </c>
      <c r="O1766" s="2747">
        <f>'Part IX A-Scoring Criteria'!O212</f>
        <v>0</v>
      </c>
      <c r="P1766" s="2747">
        <f>'Part IX A-Scoring Criteria'!P212</f>
        <v>0</v>
      </c>
      <c r="Q1766" s="2787" t="str">
        <f>IF(OR($O1766=$M1766,$O1766=0,$O1766=""),"","*CHECK!*")</f>
        <v/>
      </c>
      <c r="R1766" s="2352" t="s">
        <v>2723</v>
      </c>
    </row>
    <row r="1767" spans="1:26" ht="18.75">
      <c r="A1767" s="2581"/>
      <c r="B1767" s="478" t="s">
        <v>2811</v>
      </c>
      <c r="C1767" s="2748"/>
      <c r="D1767" s="478"/>
      <c r="E1767" s="478"/>
      <c r="F1767" s="2563"/>
      <c r="G1767" s="2748"/>
      <c r="H1767" s="1156"/>
      <c r="I1767" s="2748"/>
      <c r="J1767" s="2659" t="str">
        <f>'Part I-Project Information'!$H$100</f>
        <v>Rural</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3891</v>
      </c>
      <c r="C1768" s="2748"/>
      <c r="D1768" s="2748"/>
      <c r="E1768" s="2748"/>
      <c r="F1768" s="2748"/>
      <c r="G1768" s="2748"/>
      <c r="H1768" s="2748"/>
      <c r="I1768" s="2748"/>
      <c r="J1768" s="2627">
        <f>'Part IX A-Scoring Criteria'!J214</f>
        <v>0</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3892</v>
      </c>
      <c r="C1769" s="2748"/>
      <c r="D1769" s="2748"/>
      <c r="E1769" s="2748"/>
      <c r="F1769" s="2748"/>
      <c r="G1769" s="2748"/>
      <c r="H1769" s="2748"/>
      <c r="I1769" s="2837" t="str">
        <f>IF($J$215="Government", "Additional documentation required - see QAP.","")</f>
        <v/>
      </c>
      <c r="J1769" s="2725" t="str">
        <f>'Part IX A-Scoring Criteria'!J215</f>
        <v>&lt;Select unrelated 3rd party type&gt;</v>
      </c>
      <c r="K1769" s="2725">
        <f>'Part IX A-Scoring Criteria'!K215</f>
        <v>0</v>
      </c>
      <c r="L1769" s="2725">
        <f>'Part IX A-Scoring Criteria'!L215</f>
        <v>0</v>
      </c>
      <c r="M1769" s="2687" t="s">
        <v>3651</v>
      </c>
      <c r="N1769" s="2748"/>
      <c r="O1769" s="2748"/>
      <c r="P1769" s="2748"/>
      <c r="Q1769" s="2748"/>
      <c r="R1769" s="2748"/>
      <c r="S1769" s="2748"/>
      <c r="T1769" s="2748"/>
      <c r="U1769" s="2748"/>
      <c r="V1769" s="2815"/>
      <c r="W1769" s="2815"/>
      <c r="X1769" s="2748"/>
      <c r="Y1769" s="2748"/>
      <c r="Z1769" s="2748"/>
    </row>
    <row r="1770" spans="1:26" ht="18.75">
      <c r="A1770" s="2641"/>
      <c r="B1770" s="2736" t="s">
        <v>4247</v>
      </c>
      <c r="F1770" s="2679"/>
      <c r="G1770" s="2679"/>
      <c r="H1770" s="2679"/>
      <c r="L1770" s="2695">
        <f>'Part IX A-Scoring Criteria'!L216</f>
        <v>0</v>
      </c>
      <c r="M1770" s="2847">
        <f>'Part IX A-Scoring Criteria'!M216</f>
        <v>0</v>
      </c>
      <c r="N1770" s="2847">
        <f>'Part IX A-Scoring Criteria'!N216</f>
        <v>0</v>
      </c>
      <c r="O1770" s="2847">
        <f>'Part IX A-Scoring Criteria'!O216</f>
        <v>0</v>
      </c>
      <c r="P1770" s="2847">
        <f>'Part IX A-Scoring Criteria'!P216</f>
        <v>0</v>
      </c>
      <c r="V1770" s="2815"/>
      <c r="W1770" s="2815"/>
    </row>
    <row r="1771" spans="1:26" ht="18.75">
      <c r="A1771" s="2641"/>
      <c r="B1771" s="2687" t="s">
        <v>3820</v>
      </c>
      <c r="G1771" s="2687"/>
      <c r="J1771" s="2848">
        <f>'Part IX A-Scoring Criteria'!J217</f>
        <v>0</v>
      </c>
      <c r="K1771" s="2849" t="s">
        <v>3819</v>
      </c>
      <c r="L1771" s="2679"/>
      <c r="N1771" s="2550"/>
      <c r="O1771" s="2552"/>
      <c r="P1771" s="2552"/>
      <c r="V1771" s="2815"/>
      <c r="W1771" s="2815"/>
    </row>
    <row r="1772" spans="1:26" ht="18.75" customHeight="1">
      <c r="A1772" s="2850" t="s">
        <v>4228</v>
      </c>
      <c r="B1772" s="2662" t="s">
        <v>4225</v>
      </c>
      <c r="C1772" s="2662"/>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4226</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4227</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3476</v>
      </c>
      <c r="G1775" s="478" t="s">
        <v>2645</v>
      </c>
      <c r="H1775" s="478"/>
      <c r="J1775" s="2851">
        <f>'Part IX A-Scoring Criteria'!J221</f>
        <v>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4552</v>
      </c>
      <c r="D1776" s="2665"/>
      <c r="E1776" s="2748"/>
      <c r="F1776" s="2748"/>
      <c r="G1776" s="2852">
        <f>'Part IV-A-Uses of Funds'!$G$132</f>
        <v>3838818</v>
      </c>
      <c r="H1776" s="2852"/>
      <c r="I1776" s="2748"/>
      <c r="J1776" s="2853">
        <f>'Part IX A-Scoring Criteria'!J222</f>
        <v>0</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3784</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101.25">
      <c r="A1778" s="2662" t="str">
        <f>'Part IX A-Scoring Criteria'!A224</f>
        <v>The site is in Census Tract 9504 which is a QCT but there is no revitalization plan in effect.</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1879</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4062</v>
      </c>
      <c r="C1782" s="2665"/>
      <c r="D1782" s="2665"/>
      <c r="E1782" s="2665"/>
      <c r="F1782" s="2665"/>
      <c r="G1782" s="2665"/>
      <c r="H1782" s="2665"/>
      <c r="I1782" s="2665"/>
      <c r="J1782" s="2665"/>
      <c r="K1782" s="2694" t="s">
        <v>3266</v>
      </c>
      <c r="L1782" s="2694" t="s">
        <v>258</v>
      </c>
      <c r="M1782" s="2563">
        <v>3</v>
      </c>
      <c r="N1782" s="2783"/>
      <c r="O1782" s="2754"/>
      <c r="P1782" s="2747">
        <f>'Part IX A-Scoring Criteria'!P228</f>
        <v>0</v>
      </c>
      <c r="Q1782" s="2563" t="s">
        <v>443</v>
      </c>
      <c r="R1782" s="2352" t="s">
        <v>2723</v>
      </c>
      <c r="S1782" s="2748"/>
      <c r="T1782" s="2748"/>
      <c r="U1782" s="2748"/>
      <c r="V1782" s="2748"/>
      <c r="W1782" s="2748"/>
      <c r="X1782" s="2748"/>
      <c r="Y1782" s="2748"/>
      <c r="Z1782" s="2748"/>
    </row>
    <row r="1783" spans="1:26" ht="15">
      <c r="A1783" s="2581"/>
      <c r="B1783" s="2695" t="s">
        <v>4065</v>
      </c>
      <c r="C1783" s="2748"/>
      <c r="D1783" s="1156" t="s">
        <v>4066</v>
      </c>
      <c r="E1783" s="2748"/>
      <c r="F1783" s="2748"/>
      <c r="G1783" s="2748"/>
      <c r="H1783" s="2748"/>
      <c r="I1783" s="2748"/>
      <c r="J1783" s="2748"/>
      <c r="K1783" s="2845">
        <f>'Part IX A-Scoring Criteria'!K229</f>
        <v>0</v>
      </c>
      <c r="L1783" s="2845">
        <f>'Part IX A-Scoring Criteria'!L229</f>
        <v>0</v>
      </c>
      <c r="M1783" s="2748"/>
      <c r="N1783" s="2703" t="s">
        <v>2450</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4067</v>
      </c>
      <c r="E1784" s="2748"/>
      <c r="F1784" s="2748"/>
      <c r="G1784" s="2748"/>
      <c r="H1784" s="2748"/>
      <c r="I1784" s="2748"/>
      <c r="J1784" s="2748"/>
      <c r="K1784" s="2845">
        <f>'Part IX A-Scoring Criteria'!K230</f>
        <v>0</v>
      </c>
      <c r="L1784" s="2845">
        <f>'Part IX A-Scoring Criteria'!L230</f>
        <v>0</v>
      </c>
      <c r="M1784" s="2748"/>
      <c r="N1784" s="2703" t="s">
        <v>2451</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4068</v>
      </c>
      <c r="E1785" s="2748"/>
      <c r="F1785" s="2748"/>
      <c r="G1785" s="2748"/>
      <c r="H1785" s="2748"/>
      <c r="I1785" s="2748"/>
      <c r="J1785" s="2748"/>
      <c r="K1785" s="2748"/>
      <c r="L1785" s="2748"/>
      <c r="M1785" s="2748"/>
      <c r="N1785" s="2703" t="s">
        <v>2452</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4069</v>
      </c>
      <c r="E1786" s="2748"/>
      <c r="F1786" s="2748"/>
      <c r="G1786" s="2748"/>
      <c r="H1786" s="2748"/>
      <c r="I1786" s="2748"/>
      <c r="J1786" s="2748"/>
      <c r="K1786" s="2748"/>
      <c r="L1786" s="2748"/>
      <c r="M1786" s="2748"/>
      <c r="N1786" s="2703" t="s">
        <v>2453</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4070</v>
      </c>
      <c r="E1787" s="2748"/>
      <c r="F1787" s="2748"/>
      <c r="G1787" s="2748"/>
      <c r="H1787" s="2748"/>
      <c r="I1787" s="2748"/>
      <c r="J1787" s="2748"/>
      <c r="K1787" s="2748"/>
      <c r="L1787" s="2748"/>
      <c r="M1787" s="2748"/>
      <c r="N1787" s="2703" t="s">
        <v>2454</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1998</v>
      </c>
      <c r="B1789" s="2570" t="s">
        <v>4821</v>
      </c>
      <c r="D1789" s="2355"/>
      <c r="G1789" s="2736" t="s">
        <v>3815</v>
      </c>
      <c r="Q1789" s="2407"/>
    </row>
    <row r="1790" spans="1:26">
      <c r="A1790" s="2701"/>
      <c r="B1790" s="478" t="s">
        <v>3896</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2721</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2209</v>
      </c>
      <c r="C1791" s="2355"/>
      <c r="D1791" s="478">
        <f>'Part IX A-Scoring Criteria'!D237</f>
        <v>0</v>
      </c>
      <c r="E1791" s="478">
        <f>'Part IX A-Scoring Criteria'!E237</f>
        <v>0</v>
      </c>
      <c r="F1791" s="478">
        <f>'Part IX A-Scoring Criteria'!F237</f>
        <v>0</v>
      </c>
      <c r="G1791" s="478" t="s">
        <v>1733</v>
      </c>
      <c r="H1791" s="2854">
        <f>'Part IX A-Scoring Criteria'!H237</f>
        <v>0</v>
      </c>
      <c r="I1791" s="2598" t="s">
        <v>1812</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2001</v>
      </c>
      <c r="C1793" s="2658" t="s">
        <v>4071</v>
      </c>
      <c r="D1793" s="2687"/>
      <c r="E1793" s="2687"/>
      <c r="F1793" s="2687"/>
      <c r="G1793" s="2687"/>
      <c r="H1793" s="2687"/>
      <c r="I1793" s="2687"/>
      <c r="J1793" s="2687"/>
      <c r="K1793" s="2687"/>
      <c r="L1793" s="2687"/>
      <c r="M1793" s="2687"/>
      <c r="N1793" s="2687"/>
      <c r="O1793" s="2660" t="s">
        <v>2526</v>
      </c>
      <c r="P1793" s="2660" t="s">
        <v>2526</v>
      </c>
      <c r="Q1793" s="2687"/>
    </row>
    <row r="1794" spans="1:26" ht="18.75" customHeight="1">
      <c r="A1794" s="2660"/>
      <c r="B1794" s="2722"/>
      <c r="C1794" s="2627" t="s">
        <v>4822</v>
      </c>
      <c r="D1794" s="2627"/>
      <c r="E1794" s="2627"/>
      <c r="F1794" s="2627"/>
      <c r="G1794" s="2627"/>
      <c r="H1794" s="2627"/>
      <c r="I1794" s="2627"/>
      <c r="J1794" s="2627"/>
      <c r="K1794" s="2627"/>
      <c r="L1794" s="2627"/>
      <c r="M1794" s="2355"/>
      <c r="N1794" s="2774" t="s">
        <v>2001</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2450</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2721</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4075</v>
      </c>
      <c r="P1795" s="2518"/>
      <c r="Q1795" s="2687"/>
      <c r="S1795" s="2355"/>
      <c r="T1795" s="2355"/>
      <c r="U1795" s="2355"/>
      <c r="V1795" s="2815"/>
      <c r="W1795" s="2815"/>
      <c r="X1795" s="2355"/>
      <c r="Y1795" s="2355"/>
      <c r="Z1795" s="2355"/>
    </row>
    <row r="1796" spans="1:26" ht="18.75">
      <c r="A1796" s="2701"/>
      <c r="B1796" s="2355"/>
      <c r="C1796" s="478" t="s">
        <v>2209</v>
      </c>
      <c r="D1796" s="478">
        <f>'Part IX A-Scoring Criteria'!D242</f>
        <v>0</v>
      </c>
      <c r="E1796" s="478">
        <f>'Part IX A-Scoring Criteria'!E242</f>
        <v>0</v>
      </c>
      <c r="F1796" s="478">
        <f>'Part IX A-Scoring Criteria'!F242</f>
        <v>0</v>
      </c>
      <c r="G1796" s="478" t="s">
        <v>1733</v>
      </c>
      <c r="H1796" s="2854">
        <f>'Part IX A-Scoring Criteria'!H242</f>
        <v>0</v>
      </c>
      <c r="I1796" s="2598" t="s">
        <v>1812</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2451</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2721</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4075</v>
      </c>
      <c r="P1797" s="2518"/>
      <c r="Q1797" s="2687"/>
      <c r="S1797" s="2355"/>
      <c r="T1797" s="2355"/>
      <c r="U1797" s="2355"/>
      <c r="V1797" s="2815"/>
      <c r="W1797" s="2815"/>
      <c r="X1797" s="2355"/>
      <c r="Y1797" s="2355"/>
      <c r="Z1797" s="2355"/>
    </row>
    <row r="1798" spans="1:26" ht="18.75">
      <c r="A1798" s="2701"/>
      <c r="B1798" s="2355"/>
      <c r="C1798" s="478" t="s">
        <v>2209</v>
      </c>
      <c r="D1798" s="478">
        <f>'Part IX A-Scoring Criteria'!D244</f>
        <v>0</v>
      </c>
      <c r="E1798" s="478">
        <f>'Part IX A-Scoring Criteria'!E244</f>
        <v>0</v>
      </c>
      <c r="F1798" s="478">
        <f>'Part IX A-Scoring Criteria'!F244</f>
        <v>0</v>
      </c>
      <c r="G1798" s="478" t="s">
        <v>1733</v>
      </c>
      <c r="H1798" s="2854">
        <f>'Part IX A-Scoring Criteria'!H244</f>
        <v>0</v>
      </c>
      <c r="I1798" s="2598" t="s">
        <v>1812</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2003</v>
      </c>
      <c r="C1799" s="2658" t="s">
        <v>4076</v>
      </c>
      <c r="D1799" s="2687"/>
      <c r="E1799" s="2687"/>
      <c r="F1799" s="2687"/>
      <c r="G1799" s="2736" t="s">
        <v>3815</v>
      </c>
      <c r="H1799" s="2687"/>
      <c r="I1799" s="2687"/>
      <c r="J1799" s="2687"/>
      <c r="K1799" s="2687"/>
      <c r="L1799" s="2687"/>
      <c r="M1799" s="2687"/>
      <c r="N1799" s="2687"/>
      <c r="O1799" s="2660" t="s">
        <v>2526</v>
      </c>
      <c r="P1799" s="2660" t="s">
        <v>2526</v>
      </c>
      <c r="Q1799" s="2687"/>
    </row>
    <row r="1800" spans="1:26" ht="18.75" customHeight="1">
      <c r="A1800" s="2701"/>
      <c r="B1800" s="2855"/>
      <c r="C1800" s="2662" t="s">
        <v>4823</v>
      </c>
      <c r="D1800" s="2662"/>
      <c r="E1800" s="2662"/>
      <c r="F1800" s="2662"/>
      <c r="G1800" s="2662"/>
      <c r="H1800" s="2662"/>
      <c r="I1800" s="2662"/>
      <c r="J1800" s="2662"/>
      <c r="K1800" s="2662"/>
      <c r="L1800" s="2662"/>
      <c r="M1800" s="2662"/>
      <c r="N1800" s="2774" t="s">
        <v>2003</v>
      </c>
      <c r="O1800" s="2714">
        <f>'Part IX A-Scoring Criteria'!O246</f>
        <v>0</v>
      </c>
      <c r="P1800" s="2714">
        <f>'Part IX A-Scoring Criteria'!P246</f>
        <v>0</v>
      </c>
      <c r="Q1800" s="2716"/>
      <c r="V1800" s="2815"/>
      <c r="W1800" s="2815"/>
    </row>
    <row r="1801" spans="1:26" ht="18.75">
      <c r="A1801" s="2701"/>
      <c r="B1801" s="2703" t="s">
        <v>2450</v>
      </c>
      <c r="C1801" s="2722" t="s">
        <v>4192</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2451</v>
      </c>
      <c r="C1805" s="2722" t="s">
        <v>4190</v>
      </c>
      <c r="D1805" s="2665"/>
      <c r="E1805" s="2665"/>
      <c r="F1805" s="2665"/>
      <c r="G1805" s="2665"/>
      <c r="H1805" s="2665"/>
      <c r="I1805" s="2665"/>
      <c r="J1805" s="2665"/>
      <c r="K1805" s="2665"/>
      <c r="L1805" s="2662" t="s">
        <v>4194</v>
      </c>
      <c r="M1805" s="2662"/>
      <c r="N1805" s="2687" t="s">
        <v>4195</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2550</v>
      </c>
      <c r="C1809" s="2658" t="s">
        <v>4077</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4081</v>
      </c>
      <c r="D1810" s="2627"/>
      <c r="E1810" s="2627"/>
      <c r="F1810" s="2627"/>
      <c r="G1810" s="2627"/>
      <c r="H1810" s="2627"/>
      <c r="I1810" s="2627"/>
      <c r="J1810" s="2627"/>
      <c r="K1810" s="2627"/>
      <c r="L1810" s="2627"/>
      <c r="M1810" s="2627"/>
      <c r="N1810" s="2774" t="s">
        <v>2550</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1235</v>
      </c>
      <c r="C1811" s="2659" t="s">
        <v>3818</v>
      </c>
      <c r="D1811" s="2355"/>
      <c r="Q1811" s="2554"/>
    </row>
    <row r="1812" spans="1:26" ht="18.75" customHeight="1">
      <c r="A1812" s="2701"/>
      <c r="B1812" s="2856"/>
      <c r="C1812" s="2662" t="s">
        <v>4083</v>
      </c>
      <c r="D1812" s="2662"/>
      <c r="E1812" s="2662"/>
      <c r="F1812" s="2662"/>
      <c r="G1812" s="2662"/>
      <c r="H1812" s="2662"/>
      <c r="I1812" s="2662"/>
      <c r="J1812" s="2662"/>
      <c r="K1812" s="2662"/>
      <c r="L1812" s="2662"/>
      <c r="M1812" s="2662"/>
      <c r="N1812" s="2774" t="s">
        <v>1235</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2450</v>
      </c>
      <c r="C1813" s="2627" t="s">
        <v>4084</v>
      </c>
      <c r="D1813" s="2627"/>
      <c r="E1813" s="2627"/>
      <c r="F1813" s="2627"/>
      <c r="G1813" s="2627"/>
      <c r="H1813" s="2627"/>
      <c r="I1813" s="2627"/>
      <c r="J1813" s="2627"/>
      <c r="K1813" s="2627"/>
      <c r="L1813" s="2627"/>
      <c r="M1813" s="2627"/>
      <c r="N1813" s="2703" t="s">
        <v>2450</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2451</v>
      </c>
      <c r="C1814" s="2627" t="s">
        <v>4085</v>
      </c>
      <c r="D1814" s="2627"/>
      <c r="E1814" s="2627"/>
      <c r="F1814" s="2627"/>
      <c r="G1814" s="2627"/>
      <c r="H1814" s="2627"/>
      <c r="I1814" s="2627"/>
      <c r="J1814" s="2627"/>
      <c r="K1814" s="2627"/>
      <c r="L1814" s="2627"/>
      <c r="M1814" s="2627"/>
      <c r="N1814" s="2703" t="s">
        <v>2451</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2000</v>
      </c>
      <c r="B1816" s="2570" t="s">
        <v>4824</v>
      </c>
      <c r="D1816" s="2355"/>
      <c r="G1816" s="2736" t="s">
        <v>3815</v>
      </c>
      <c r="O1816" s="2660" t="s">
        <v>2526</v>
      </c>
      <c r="P1816" s="2660" t="s">
        <v>2526</v>
      </c>
      <c r="Q1816" s="2407"/>
    </row>
    <row r="1817" spans="1:26" ht="18.75" customHeight="1">
      <c r="A1817" s="2701"/>
      <c r="B1817" s="2824" t="s">
        <v>2001</v>
      </c>
      <c r="C1817" s="2662" t="s">
        <v>4079</v>
      </c>
      <c r="D1817" s="2662"/>
      <c r="E1817" s="2662"/>
      <c r="F1817" s="2662"/>
      <c r="G1817" s="2662"/>
      <c r="H1817" s="2662"/>
      <c r="I1817" s="2662"/>
      <c r="J1817" s="2662"/>
      <c r="K1817" s="2662"/>
      <c r="L1817" s="2662"/>
      <c r="M1817" s="2858" t="s">
        <v>2000</v>
      </c>
      <c r="N1817" s="2774" t="s">
        <v>2001</v>
      </c>
      <c r="O1817" s="2714">
        <f>'Part IX A-Scoring Criteria'!O263</f>
        <v>0</v>
      </c>
      <c r="P1817" s="2714">
        <f>'Part IX A-Scoring Criteria'!P263</f>
        <v>0</v>
      </c>
      <c r="Q1817" s="2407"/>
      <c r="V1817" s="2815"/>
      <c r="W1817" s="2815"/>
    </row>
    <row r="1818" spans="1:26" ht="18.75">
      <c r="A1818" s="2701"/>
      <c r="B1818" s="2824" t="s">
        <v>2003</v>
      </c>
      <c r="C1818" s="2598" t="s">
        <v>4080</v>
      </c>
      <c r="D1818" s="2627"/>
      <c r="E1818" s="2627"/>
      <c r="F1818" s="2627"/>
      <c r="G1818" s="2627"/>
      <c r="H1818" s="2627"/>
      <c r="I1818" s="2627"/>
      <c r="J1818" s="2627"/>
      <c r="K1818" s="2627"/>
      <c r="L1818" s="2627"/>
      <c r="M1818" s="2627"/>
      <c r="N1818" s="2774" t="s">
        <v>2003</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3784</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63.75">
      <c r="A1820" s="2433" t="str">
        <f>'Part IX A-Scoring Criteria'!A266</f>
        <v>No Community Transformation plan was used.</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1879</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2803</v>
      </c>
      <c r="C1824" s="2766"/>
      <c r="D1824" s="2767"/>
      <c r="E1824" s="2767"/>
      <c r="F1824" s="2766"/>
      <c r="G1824" s="2766"/>
      <c r="H1824" s="2357" t="s">
        <v>4235</v>
      </c>
      <c r="I1824" s="2766"/>
      <c r="J1824" s="2766"/>
      <c r="K1824" s="2766"/>
      <c r="L1824" s="2766"/>
      <c r="M1824" s="2563">
        <v>7</v>
      </c>
      <c r="N1824" s="2554"/>
      <c r="O1824" s="2566">
        <f>'Part IX A-Scoring Criteria'!O270</f>
        <v>0</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3627</v>
      </c>
      <c r="B1826" s="2570" t="s">
        <v>3625</v>
      </c>
      <c r="C1826" s="2766"/>
      <c r="D1826" s="2767"/>
      <c r="E1826" s="2767"/>
      <c r="F1826" s="2766"/>
      <c r="G1826" s="2766"/>
      <c r="H1826" s="2357"/>
      <c r="I1826" s="2766"/>
      <c r="J1826" s="2766"/>
      <c r="K1826" s="2766"/>
      <c r="L1826" s="2766"/>
      <c r="M1826" s="2554">
        <v>3</v>
      </c>
      <c r="N1826" s="2810" t="s">
        <v>4089</v>
      </c>
      <c r="O1826" s="2566">
        <f>'Part IX A-Scoring Criteria'!O272</f>
        <v>0</v>
      </c>
      <c r="P1826" s="2563">
        <f>'Part IX A-Scoring Criteria'!P272</f>
        <v>0</v>
      </c>
      <c r="Q1826" s="2563"/>
      <c r="R1826" s="2748"/>
      <c r="S1826" s="2766"/>
      <c r="T1826" s="2766"/>
      <c r="U1826" s="2766"/>
      <c r="V1826" s="2766"/>
      <c r="W1826" s="2766"/>
      <c r="X1826" s="2766"/>
      <c r="Y1826" s="2766"/>
      <c r="Z1826" s="2766"/>
    </row>
    <row r="1827" spans="1:26">
      <c r="A1827" s="2860"/>
      <c r="B1827" s="2556" t="s">
        <v>2811</v>
      </c>
      <c r="C1827" s="1330"/>
      <c r="D1827" s="1330"/>
      <c r="H1827" s="2570" t="str">
        <f>'Part I-Project Information'!$H$100</f>
        <v>Rural</v>
      </c>
      <c r="N1827" s="2810"/>
      <c r="O1827" s="2712" t="s">
        <v>2526</v>
      </c>
      <c r="P1827" s="2712" t="s">
        <v>2526</v>
      </c>
    </row>
    <row r="1828" spans="1:26" ht="12.75" customHeight="1">
      <c r="A1828" s="2860"/>
      <c r="B1828" s="2819" t="s">
        <v>2001</v>
      </c>
      <c r="C1828" s="1156" t="s">
        <v>2701</v>
      </c>
      <c r="M1828" s="2550"/>
      <c r="N1828" s="2810"/>
      <c r="O1828" s="2668" t="str">
        <f>'Part IX A-Scoring Criteria'!O274</f>
        <v>No</v>
      </c>
      <c r="P1828" s="2668">
        <f>'Part IX A-Scoring Criteria'!P274</f>
        <v>0</v>
      </c>
      <c r="Q1828" s="2861" t="str">
        <f>IF(AND(O1828="Yes",O1831="Yes"),"Only 1 or 4 can be 'Yes'!","")</f>
        <v/>
      </c>
      <c r="R1828" s="2861"/>
    </row>
    <row r="1829" spans="1:26" ht="12.75" customHeight="1">
      <c r="B1829" s="2819" t="s">
        <v>2003</v>
      </c>
      <c r="C1829" s="1156" t="s">
        <v>2756</v>
      </c>
      <c r="G1829" s="1156" t="s">
        <v>2404</v>
      </c>
      <c r="H1829" s="2862">
        <f>'Part IX A-Scoring Criteria'!H275</f>
        <v>0</v>
      </c>
      <c r="I1829" s="1156" t="s">
        <v>2757</v>
      </c>
      <c r="L1829" s="478" t="s">
        <v>2755</v>
      </c>
      <c r="M1829" s="2659" t="str">
        <f>IF(O1829&gt;H1829,"CHECK ACTUAL PERCENT!!!","")</f>
        <v>CHECK ACTUAL PERCENT!!!</v>
      </c>
      <c r="N1829" s="2785" t="s">
        <v>2003</v>
      </c>
      <c r="O1829" s="2863">
        <f>'Part IX A-Scoring Criteria'!O275</f>
        <v>0.124</v>
      </c>
      <c r="P1829" s="2863">
        <f>'Part IX A-Scoring Criteria'!P275</f>
        <v>0</v>
      </c>
      <c r="Q1829" s="2861"/>
      <c r="R1829" s="2861"/>
    </row>
    <row r="1830" spans="1:26" ht="12.75" customHeight="1">
      <c r="B1830" s="2819" t="s">
        <v>2550</v>
      </c>
      <c r="C1830" s="1156" t="s">
        <v>2405</v>
      </c>
      <c r="G1830" s="1156" t="s">
        <v>2406</v>
      </c>
      <c r="L1830" s="2598" t="s">
        <v>2749</v>
      </c>
      <c r="M1830" s="2355"/>
      <c r="N1830" s="2785" t="s">
        <v>2550</v>
      </c>
      <c r="O1830" s="2660" t="str">
        <f>'Part IX A-Scoring Criteria'!O276</f>
        <v>Middle</v>
      </c>
      <c r="P1830" s="2660" t="str">
        <f>'Part IX A-Scoring Criteria'!P276</f>
        <v>&lt;Select&gt;</v>
      </c>
      <c r="Q1830" s="2861"/>
      <c r="R1830" s="2861"/>
    </row>
    <row r="1831" spans="1:26" ht="12.75" customHeight="1">
      <c r="A1831" s="2679"/>
      <c r="B1831" s="2824" t="s">
        <v>1235</v>
      </c>
      <c r="C1831" s="2662" t="s">
        <v>4825</v>
      </c>
      <c r="D1831" s="2662"/>
      <c r="E1831" s="2662"/>
      <c r="F1831" s="2662"/>
      <c r="G1831" s="2662"/>
      <c r="H1831" s="2662"/>
      <c r="I1831" s="2662"/>
      <c r="J1831" s="2864" t="s">
        <v>4088</v>
      </c>
      <c r="K1831" s="2864" t="s">
        <v>4086</v>
      </c>
      <c r="L1831" s="2679"/>
      <c r="M1831" s="2557">
        <v>2</v>
      </c>
      <c r="N1831" s="2785" t="s">
        <v>1235</v>
      </c>
      <c r="O1831" s="2714">
        <f>'Part IX A-Scoring Criteria'!O277</f>
        <v>0</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4151</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756</v>
      </c>
      <c r="B1834" s="2819" t="s">
        <v>3626</v>
      </c>
      <c r="C1834" s="1156"/>
      <c r="G1834" s="1156"/>
      <c r="M1834" s="2554">
        <v>2</v>
      </c>
      <c r="N1834" s="2584" t="s">
        <v>756</v>
      </c>
      <c r="O1834" s="2566">
        <f>'Part IX A-Scoring Criteria'!O280</f>
        <v>0</v>
      </c>
      <c r="P1834" s="2566">
        <f>'Part IX A-Scoring Criteria'!P280</f>
        <v>0</v>
      </c>
    </row>
    <row r="1835" spans="1:26">
      <c r="A1835" s="2605"/>
      <c r="B1835" s="2725" t="s">
        <v>3630</v>
      </c>
      <c r="C1835" s="2725"/>
      <c r="D1835" s="2725"/>
      <c r="E1835" s="2725"/>
      <c r="F1835" s="2725"/>
      <c r="G1835" s="2725"/>
      <c r="H1835" s="2670"/>
      <c r="I1835" s="2670"/>
      <c r="N1835" s="2550"/>
      <c r="O1835" s="2660">
        <f>'Part IX A-Scoring Criteria'!O281</f>
        <v>0</v>
      </c>
      <c r="P1835" s="2660" t="str">
        <f>'Part IX A-Scoring Criteria'!P281</f>
        <v>&lt;Select&gt;</v>
      </c>
    </row>
    <row r="1836" spans="1:26">
      <c r="A1836" s="2605" t="s">
        <v>2130</v>
      </c>
      <c r="B1836" s="2819" t="s">
        <v>3628</v>
      </c>
      <c r="C1836" s="1156"/>
      <c r="G1836" s="2736" t="s">
        <v>3629</v>
      </c>
      <c r="H1836" s="2870">
        <f>'Part VI-Revenues &amp; Expenses'!$O$59</f>
        <v>0</v>
      </c>
      <c r="I1836" s="2712" t="s">
        <v>3632</v>
      </c>
      <c r="J1836" s="2870">
        <f>'Part VI-Revenues &amp; Expenses'!$O$62</f>
        <v>48</v>
      </c>
      <c r="K1836" s="2712" t="s">
        <v>3633</v>
      </c>
      <c r="L1836" s="2871">
        <f>IF(J1836=0,0,H1836/J1836)</f>
        <v>0</v>
      </c>
      <c r="M1836" s="2554">
        <v>2</v>
      </c>
      <c r="N1836" s="2555" t="s">
        <v>2130</v>
      </c>
      <c r="O1836" s="2563">
        <f>'Part IX A-Scoring Criteria'!O282</f>
        <v>0</v>
      </c>
      <c r="P1836" s="2563">
        <f>'Part IX A-Scoring Criteria'!P282</f>
        <v>0</v>
      </c>
    </row>
    <row r="1837" spans="1:26" ht="15">
      <c r="A1837" s="2355"/>
      <c r="B1837" s="2663" t="s">
        <v>1879</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4090</v>
      </c>
      <c r="C1840" s="2766"/>
      <c r="D1840" s="2767"/>
      <c r="E1840" s="2767"/>
      <c r="F1840" s="2766"/>
      <c r="G1840" s="2766"/>
      <c r="H1840" s="2357"/>
      <c r="I1840" s="2872" t="s">
        <v>3831</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1998</v>
      </c>
      <c r="B1841" s="2873" t="s">
        <v>3822</v>
      </c>
      <c r="D1841" s="2722"/>
      <c r="E1841" s="2722"/>
      <c r="F1841" s="2722"/>
      <c r="G1841" s="2722"/>
      <c r="H1841" s="2722"/>
      <c r="I1841" s="2722"/>
      <c r="J1841" s="2722"/>
      <c r="K1841" s="2722"/>
      <c r="L1841" s="2722"/>
      <c r="M1841" s="2874" t="str">
        <f>IF(OR(SUM(T1841:T1842)&gt;1,SUM(U1841:U1842)&gt;1),"Only one category can be met by other means!","")</f>
        <v/>
      </c>
      <c r="N1841" s="2703" t="s">
        <v>1998</v>
      </c>
      <c r="O1841" s="2668" t="str">
        <f>'Part IX A-Scoring Criteria'!O287</f>
        <v>No</v>
      </c>
      <c r="P1841" s="2668">
        <f>'Part IX A-Scoring Criteria'!P287</f>
        <v>0</v>
      </c>
      <c r="U1841" s="2712">
        <f>IF(L1841="Yes",1,0)</f>
        <v>0</v>
      </c>
    </row>
    <row r="1842" spans="1:26">
      <c r="A1842" s="2562" t="s">
        <v>2000</v>
      </c>
      <c r="B1842" s="2873" t="s">
        <v>3823</v>
      </c>
      <c r="D1842" s="2722"/>
      <c r="L1842" s="2722"/>
      <c r="M1842" s="2874"/>
      <c r="N1842" s="2703" t="s">
        <v>2000</v>
      </c>
      <c r="O1842" s="2668" t="str">
        <f>'Part IX A-Scoring Criteria'!O288</f>
        <v>No</v>
      </c>
      <c r="P1842" s="2668">
        <f>'Part IX A-Scoring Criteria'!P288</f>
        <v>0</v>
      </c>
      <c r="U1842" s="2712">
        <f>IF(L1842="Yes",1,0)</f>
        <v>0</v>
      </c>
    </row>
    <row r="1843" spans="1:26" ht="15">
      <c r="A1843" s="2355"/>
      <c r="B1843" s="2767" t="s">
        <v>3784</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78.75">
      <c r="A1844" s="2662" t="str">
        <f>'Part IX A-Scoring Criteria'!A290</f>
        <v>Not a HUD Choice Nighborhood nor purpose built Community</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1879</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2474</v>
      </c>
      <c r="C1848" s="2748"/>
      <c r="D1848" s="2784"/>
      <c r="E1848" s="2784"/>
      <c r="F1848" s="2784"/>
      <c r="G1848" s="2748"/>
      <c r="H1848" s="2797" t="s">
        <v>3412</v>
      </c>
      <c r="I1848" s="2748"/>
      <c r="J1848" s="2659" t="s">
        <v>2811</v>
      </c>
      <c r="K1848" s="2556"/>
      <c r="L1848" s="2659" t="str">
        <f>'Part I-Project Information'!$H$100</f>
        <v>Rural</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1998</v>
      </c>
      <c r="B1849" s="2570" t="s">
        <v>4826</v>
      </c>
      <c r="D1849" s="2355"/>
      <c r="E1849" s="2355"/>
      <c r="F1849" s="2355"/>
      <c r="H1849" s="2659" t="s">
        <v>3710</v>
      </c>
      <c r="I1849" s="1156"/>
      <c r="J1849" s="2659" t="str">
        <f>'Part I-Project Information'!$O$34</f>
        <v>No</v>
      </c>
      <c r="K1849" s="2659"/>
      <c r="L1849" s="2814">
        <f>'Part I-Project Information'!$O$35</f>
        <v>0</v>
      </c>
      <c r="M1849" s="2554">
        <v>3</v>
      </c>
      <c r="N1849" s="2703" t="s">
        <v>1998</v>
      </c>
      <c r="O1849" s="2747">
        <f>'Part IX A-Scoring Criteria'!O295</f>
        <v>0</v>
      </c>
      <c r="P1849" s="2747">
        <f>'Part IX A-Scoring Criteria'!P295</f>
        <v>0</v>
      </c>
      <c r="Q1849" s="2787" t="str">
        <f>IF(OR($O1849=$M1849,$O1849=0,$O1849=""),"","*CHECK!*")</f>
        <v/>
      </c>
      <c r="R1849" s="2831" t="s">
        <v>2723</v>
      </c>
    </row>
    <row r="1850" spans="1:26" ht="12.75" customHeight="1">
      <c r="A1850" s="1156"/>
      <c r="B1850" s="2824" t="s">
        <v>2001</v>
      </c>
      <c r="C1850" s="2662" t="s">
        <v>4248</v>
      </c>
      <c r="D1850" s="2662"/>
      <c r="E1850" s="2662"/>
      <c r="F1850" s="2662"/>
      <c r="G1850" s="2662"/>
      <c r="H1850" s="2662"/>
      <c r="I1850" s="2662"/>
      <c r="J1850" s="2662"/>
      <c r="K1850" s="2662"/>
      <c r="L1850" s="2662"/>
      <c r="M1850" s="2662"/>
      <c r="N1850" s="2774" t="s">
        <v>2001</v>
      </c>
      <c r="O1850" s="2714">
        <f>'Part IX A-Scoring Criteria'!O296</f>
        <v>0</v>
      </c>
      <c r="P1850" s="2714">
        <f>'Part IX A-Scoring Criteria'!P296</f>
        <v>0</v>
      </c>
      <c r="Q1850" s="2662" t="s">
        <v>4827</v>
      </c>
      <c r="R1850" s="2662"/>
      <c r="S1850" s="2662"/>
      <c r="T1850" s="2662"/>
      <c r="U1850" s="2662"/>
      <c r="V1850" s="2662"/>
      <c r="W1850" s="2662"/>
      <c r="X1850" s="2662"/>
      <c r="Y1850" s="2662"/>
      <c r="Z1850" s="2662"/>
    </row>
    <row r="1851" spans="1:26">
      <c r="A1851" s="478"/>
      <c r="B1851" s="2819"/>
      <c r="C1851" s="478" t="s">
        <v>3837</v>
      </c>
      <c r="D1851" s="478"/>
      <c r="E1851" s="478"/>
      <c r="F1851" s="478"/>
      <c r="G1851" s="478"/>
      <c r="H1851" s="2598" t="s">
        <v>2599</v>
      </c>
      <c r="I1851" s="2812">
        <f>'Part IX A-Scoring Criteria'!I297</f>
        <v>0</v>
      </c>
      <c r="J1851" s="2598" t="s">
        <v>2316</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3893</v>
      </c>
      <c r="D1852" s="478"/>
      <c r="E1852" s="478"/>
      <c r="F1852" s="478"/>
      <c r="G1852" s="478"/>
      <c r="H1852" s="2598" t="s">
        <v>2599</v>
      </c>
      <c r="I1852" s="2812">
        <f>'Part IX A-Scoring Criteria'!I298</f>
        <v>0</v>
      </c>
      <c r="J1852" s="2598" t="s">
        <v>2316</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2003</v>
      </c>
      <c r="C1853" s="478" t="s">
        <v>971</v>
      </c>
      <c r="D1853" s="478"/>
      <c r="E1853" s="478"/>
      <c r="F1853" s="478"/>
      <c r="G1853" s="478"/>
      <c r="H1853" s="478"/>
      <c r="I1853" s="478"/>
      <c r="J1853" s="478"/>
      <c r="K1853" s="478"/>
      <c r="L1853" s="478"/>
      <c r="M1853" s="2554"/>
      <c r="N1853" s="2785" t="s">
        <v>2003</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2550</v>
      </c>
      <c r="C1854" s="478" t="s">
        <v>972</v>
      </c>
      <c r="D1854" s="478"/>
      <c r="E1854" s="478"/>
      <c r="F1854" s="478"/>
      <c r="G1854" s="478"/>
      <c r="H1854" s="478"/>
      <c r="I1854" s="478"/>
      <c r="J1854" s="478"/>
      <c r="K1854" s="478"/>
      <c r="L1854" s="478"/>
      <c r="M1854" s="2554"/>
      <c r="N1854" s="2785" t="s">
        <v>2550</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1235</v>
      </c>
      <c r="C1855" s="478" t="s">
        <v>973</v>
      </c>
      <c r="D1855" s="478"/>
      <c r="E1855" s="478"/>
      <c r="F1855" s="478"/>
      <c r="G1855" s="478"/>
      <c r="H1855" s="478"/>
      <c r="I1855" s="478"/>
      <c r="J1855" s="478"/>
      <c r="K1855" s="478"/>
      <c r="L1855" s="478"/>
      <c r="M1855" s="2554"/>
      <c r="N1855" s="2785" t="s">
        <v>1235</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2000</v>
      </c>
      <c r="B1856" s="2570" t="s">
        <v>4828</v>
      </c>
      <c r="C1856" s="2355"/>
      <c r="D1856" s="2355"/>
      <c r="E1856" s="2355"/>
      <c r="F1856" s="2355"/>
      <c r="G1856" s="2355"/>
      <c r="H1856" s="2797" t="s">
        <v>3413</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3634</v>
      </c>
      <c r="C1857" s="2355"/>
      <c r="D1857" s="2355"/>
      <c r="E1857" s="2355"/>
      <c r="F1857" s="2355"/>
      <c r="G1857" s="2355"/>
      <c r="H1857" s="2797"/>
      <c r="I1857" s="2355"/>
      <c r="J1857" s="2355"/>
      <c r="K1857" s="2355"/>
      <c r="L1857" s="2355"/>
      <c r="M1857" s="2554">
        <v>3</v>
      </c>
      <c r="N1857" s="2703" t="s">
        <v>2000</v>
      </c>
      <c r="O1857" s="2747">
        <f>'Part IX A-Scoring Criteria'!O303</f>
        <v>0</v>
      </c>
      <c r="P1857" s="2747">
        <f>'Part IX A-Scoring Criteria'!P303</f>
        <v>0</v>
      </c>
      <c r="Q1857" s="2355"/>
      <c r="R1857" s="2355"/>
      <c r="S1857" s="2355"/>
      <c r="T1857" s="2355"/>
      <c r="U1857" s="2355"/>
      <c r="V1857" s="2355"/>
      <c r="W1857" s="2355"/>
      <c r="X1857" s="2355"/>
      <c r="Y1857" s="2355"/>
      <c r="Z1857" s="2355"/>
    </row>
    <row r="1858" spans="1:26">
      <c r="A1858" s="2355"/>
      <c r="B1858" s="2819" t="s">
        <v>2001</v>
      </c>
      <c r="C1858" s="2659" t="s">
        <v>4829</v>
      </c>
      <c r="D1858" s="2355"/>
      <c r="E1858" s="2355"/>
      <c r="F1858" s="2355"/>
      <c r="G1858" s="2355"/>
      <c r="H1858" s="2355"/>
      <c r="I1858" s="2355"/>
      <c r="J1858" s="2355"/>
      <c r="K1858" s="2355"/>
      <c r="L1858" s="2711" t="str">
        <f>IF(OR($O1858=$M1858,$O1858=0,$O1858=""),"","* * Check Score! * *")</f>
        <v/>
      </c>
      <c r="M1858" s="2554">
        <v>3</v>
      </c>
      <c r="N1858" s="2817" t="s">
        <v>2001</v>
      </c>
      <c r="O1858" s="2747">
        <f>'Part IX A-Scoring Criteria'!O304</f>
        <v>0</v>
      </c>
      <c r="P1858" s="2747">
        <f>'Part IX A-Scoring Criteria'!P304</f>
        <v>0</v>
      </c>
      <c r="Q1858" s="2787" t="str">
        <f>IF(OR($O1858=$M1858,$O1858=0,$O1858=""),"","*CHECK!*")</f>
        <v/>
      </c>
      <c r="R1858" s="2831" t="s">
        <v>2723</v>
      </c>
      <c r="S1858" s="2355"/>
      <c r="T1858" s="2355"/>
      <c r="U1858" s="2355"/>
      <c r="V1858" s="2355"/>
      <c r="W1858" s="2355"/>
      <c r="X1858" s="2355"/>
      <c r="Y1858" s="2355"/>
      <c r="Z1858" s="2355"/>
    </row>
    <row r="1859" spans="1:26">
      <c r="A1859" s="2668" t="s">
        <v>1364</v>
      </c>
      <c r="B1859" s="2824" t="s">
        <v>2003</v>
      </c>
      <c r="C1859" s="2719" t="s">
        <v>4830</v>
      </c>
      <c r="D1859" s="2355"/>
      <c r="E1859" s="2355"/>
      <c r="F1859" s="2355"/>
      <c r="G1859" s="2598"/>
      <c r="H1859" s="2797"/>
      <c r="I1859" s="2598"/>
      <c r="L1859" s="2711" t="str">
        <f>IF(OR($O1859=$M1859,$O1859=0,$O1859=""),"","* * Check Score! * *")</f>
        <v/>
      </c>
      <c r="M1859" s="2550">
        <v>2</v>
      </c>
      <c r="N1859" s="2817" t="s">
        <v>2003</v>
      </c>
      <c r="O1859" s="2747">
        <f>'Part IX A-Scoring Criteria'!O305</f>
        <v>0</v>
      </c>
      <c r="P1859" s="2747">
        <f>'Part IX A-Scoring Criteria'!P305</f>
        <v>0</v>
      </c>
      <c r="Q1859" s="2787" t="str">
        <f>IF(OR($O1859=$M1859,$O1859=0,$O1859=""),"","*CHECK!*")</f>
        <v/>
      </c>
      <c r="R1859" s="2831" t="s">
        <v>2723</v>
      </c>
    </row>
    <row r="1860" spans="1:26">
      <c r="A1860" s="2562" t="s">
        <v>756</v>
      </c>
      <c r="B1860" s="2570" t="s">
        <v>4831</v>
      </c>
      <c r="C1860" s="2355"/>
      <c r="D1860" s="2355"/>
      <c r="E1860" s="2355"/>
      <c r="F1860" s="2355"/>
      <c r="G1860" s="2355"/>
      <c r="H1860" s="2797" t="s">
        <v>4096</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3637</v>
      </c>
      <c r="C1861" s="2355"/>
      <c r="D1861" s="2355"/>
      <c r="E1861" s="2355"/>
      <c r="F1861" s="2355"/>
      <c r="G1861" s="2355"/>
      <c r="H1861" s="2797"/>
      <c r="I1861" s="2355"/>
      <c r="J1861" s="2355"/>
      <c r="K1861" s="2355"/>
      <c r="L1861" s="2355"/>
      <c r="M1861" s="2554">
        <v>4</v>
      </c>
      <c r="N1861" s="2703" t="s">
        <v>756</v>
      </c>
      <c r="O1861" s="2747">
        <f>'Part IX A-Scoring Criteria'!O307</f>
        <v>3</v>
      </c>
      <c r="P1861" s="2747">
        <f>'Part IX A-Scoring Criteria'!P307</f>
        <v>0</v>
      </c>
      <c r="Q1861" s="2355"/>
      <c r="R1861" s="2355"/>
      <c r="S1861" s="2355"/>
      <c r="T1861" s="2355"/>
      <c r="U1861" s="2355"/>
      <c r="V1861" s="2355"/>
      <c r="W1861" s="2355"/>
      <c r="X1861" s="2355"/>
      <c r="Y1861" s="2355"/>
      <c r="Z1861" s="2355"/>
    </row>
    <row r="1862" spans="1:26">
      <c r="A1862" s="2355"/>
      <c r="B1862" s="2819" t="s">
        <v>2001</v>
      </c>
      <c r="C1862" s="1156" t="s">
        <v>3636</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2001</v>
      </c>
      <c r="O1862" s="2747">
        <f>'Part IX A-Scoring Criteria'!O308</f>
        <v>0</v>
      </c>
      <c r="P1862" s="2747">
        <f>'Part IX A-Scoring Criteria'!P308</f>
        <v>0</v>
      </c>
      <c r="Q1862" s="2787" t="str">
        <f>IF(OR($O1862=$M1862,$O1862=0,$O1862=""),"","*CHECK!*")</f>
        <v/>
      </c>
      <c r="R1862" s="2831" t="s">
        <v>2723</v>
      </c>
      <c r="S1862" s="2355"/>
      <c r="T1862" s="2355"/>
      <c r="U1862" s="2355"/>
      <c r="V1862" s="2355"/>
      <c r="W1862" s="2355"/>
      <c r="X1862" s="2355"/>
      <c r="Y1862" s="2355"/>
      <c r="Z1862" s="2355"/>
    </row>
    <row r="1863" spans="1:26">
      <c r="A1863" s="2668" t="s">
        <v>1364</v>
      </c>
      <c r="B1863" s="2824" t="s">
        <v>2003</v>
      </c>
      <c r="C1863" s="2659" t="s">
        <v>4832</v>
      </c>
      <c r="D1863" s="2355"/>
      <c r="E1863" s="2355"/>
      <c r="F1863" s="2355"/>
      <c r="G1863" s="2598"/>
      <c r="H1863" s="2599"/>
      <c r="I1863" s="2598"/>
      <c r="K1863" s="2567"/>
      <c r="L1863" s="2567"/>
      <c r="M1863" s="2550">
        <v>3</v>
      </c>
      <c r="N1863" s="2817" t="s">
        <v>2003</v>
      </c>
      <c r="O1863" s="2747">
        <f>'Part IX A-Scoring Criteria'!O309</f>
        <v>3</v>
      </c>
      <c r="P1863" s="2747">
        <f>'Part IX A-Scoring Criteria'!P309</f>
        <v>0</v>
      </c>
      <c r="Q1863" s="2787" t="str">
        <f t="shared" ref="Q1863:Q1864" si="326">IF(OR($O1863=$M1863,$O1863=0,$O1863=""),"","*CHECK!*")</f>
        <v/>
      </c>
      <c r="R1863" s="2831" t="s">
        <v>2723</v>
      </c>
    </row>
    <row r="1864" spans="1:26">
      <c r="A1864" s="2668" t="s">
        <v>1364</v>
      </c>
      <c r="B1864" s="2824" t="s">
        <v>2550</v>
      </c>
      <c r="C1864" s="2719" t="s">
        <v>4833</v>
      </c>
      <c r="D1864" s="2355"/>
      <c r="E1864" s="2355"/>
      <c r="F1864" s="2355"/>
      <c r="G1864" s="2598"/>
      <c r="H1864" s="2797"/>
      <c r="I1864" s="2598"/>
      <c r="K1864" s="2567"/>
      <c r="L1864" s="2567"/>
      <c r="M1864" s="2550">
        <v>2</v>
      </c>
      <c r="N1864" s="2817" t="s">
        <v>2550</v>
      </c>
      <c r="O1864" s="2747">
        <f>'Part IX A-Scoring Criteria'!O310</f>
        <v>0</v>
      </c>
      <c r="P1864" s="2747">
        <f>'Part IX A-Scoring Criteria'!P310</f>
        <v>0</v>
      </c>
      <c r="Q1864" s="2787" t="str">
        <f t="shared" si="326"/>
        <v/>
      </c>
      <c r="R1864" s="2831" t="s">
        <v>2723</v>
      </c>
    </row>
    <row r="1865" spans="1:26" ht="15">
      <c r="A1865" s="2355"/>
      <c r="B1865" s="2767" t="s">
        <v>3784</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112.5">
      <c r="A1866" s="2662" t="str">
        <f>'Part IX A-Scoring Criteria'!A312</f>
        <v>This is not a phased development and the last LIHTC project was funded in 2008, which was 2008-019</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1879</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1738</v>
      </c>
      <c r="B1870" s="2750" t="s">
        <v>2844</v>
      </c>
      <c r="C1870" s="2748"/>
      <c r="D1870" s="2784"/>
      <c r="E1870" s="2784"/>
      <c r="F1870" s="2784"/>
      <c r="G1870" s="2748"/>
      <c r="H1870" s="2797" t="s">
        <v>402</v>
      </c>
      <c r="I1870" s="2748"/>
      <c r="J1870" s="2748"/>
      <c r="K1870" s="2556"/>
      <c r="L1870" s="2748"/>
      <c r="M1870" s="2563">
        <v>1</v>
      </c>
      <c r="N1870" s="2554"/>
      <c r="O1870" s="2563">
        <f>'Part IX A-Scoring Criteria'!O316</f>
        <v>0</v>
      </c>
      <c r="P1870" s="2563">
        <f>'Part IX A-Scoring Criteria'!P316</f>
        <v>0</v>
      </c>
      <c r="Q1870" s="2563" t="s">
        <v>443</v>
      </c>
      <c r="R1870" s="2748"/>
      <c r="S1870" s="2748"/>
      <c r="T1870" s="2815"/>
      <c r="U1870" s="2815"/>
      <c r="V1870" s="2748"/>
      <c r="W1870" s="2748"/>
      <c r="X1870" s="2748"/>
      <c r="Y1870" s="2748"/>
      <c r="Z1870" s="2748"/>
    </row>
    <row r="1871" spans="1:26" ht="18.75">
      <c r="A1871" s="2581" t="s">
        <v>1998</v>
      </c>
      <c r="B1871" s="2570" t="s">
        <v>2248</v>
      </c>
      <c r="C1871" s="2766"/>
      <c r="D1871" s="2797"/>
      <c r="E1871" s="2797"/>
      <c r="F1871" s="2744"/>
      <c r="H1871" s="2766"/>
      <c r="I1871" s="2766"/>
      <c r="J1871" s="2766"/>
      <c r="K1871" s="2766"/>
      <c r="L1871" s="2711" t="str">
        <f>IF(OR($O1871=$M1871,$O1871=0,$O1871=""),"","* * Check Score! * *")</f>
        <v/>
      </c>
      <c r="M1871" s="2554">
        <v>1</v>
      </c>
      <c r="N1871" s="2703" t="s">
        <v>1998</v>
      </c>
      <c r="O1871" s="2747">
        <f>'Part IX A-Scoring Criteria'!O317</f>
        <v>0</v>
      </c>
      <c r="P1871" s="2747">
        <f>'Part IX A-Scoring Criteria'!P317</f>
        <v>0</v>
      </c>
      <c r="Q1871" s="2787" t="str">
        <f>IF(OR($O1871=$M1871,$O1871=0,$O1871=""),"","*CHECK!*")</f>
        <v/>
      </c>
      <c r="R1871" s="2831" t="s">
        <v>2723</v>
      </c>
      <c r="S1871" s="2766"/>
      <c r="T1871" s="2815"/>
      <c r="U1871" s="2815"/>
      <c r="V1871" s="2766"/>
      <c r="W1871" s="2766"/>
      <c r="X1871" s="2766"/>
      <c r="Y1871" s="2766"/>
      <c r="Z1871" s="2766"/>
    </row>
    <row r="1872" spans="1:26" ht="18.75">
      <c r="A1872" s="2581"/>
      <c r="B1872" s="2598" t="s">
        <v>2707</v>
      </c>
      <c r="C1872" s="2766"/>
      <c r="D1872" s="2797"/>
      <c r="E1872" s="2797"/>
      <c r="F1872" s="2744"/>
      <c r="H1872" s="2766"/>
      <c r="I1872" s="2766"/>
      <c r="J1872" s="2766"/>
      <c r="K1872" s="2703"/>
      <c r="L1872" s="2766"/>
      <c r="M1872" s="2554"/>
      <c r="N1872" s="2703"/>
      <c r="O1872" s="2668" t="str">
        <f>'Part IX A-Scoring Criteria'!O318</f>
        <v>No</v>
      </c>
      <c r="P1872" s="2668">
        <f>'Part IX A-Scoring Criteria'!P318</f>
        <v>0</v>
      </c>
      <c r="Q1872" s="2766"/>
      <c r="R1872" s="2602"/>
      <c r="S1872" s="2766"/>
      <c r="T1872" s="2815"/>
      <c r="U1872" s="2815"/>
      <c r="V1872" s="2766"/>
      <c r="W1872" s="2766"/>
      <c r="X1872" s="2766"/>
      <c r="Y1872" s="2766"/>
      <c r="Z1872" s="2766"/>
    </row>
    <row r="1873" spans="1:26" ht="18.75">
      <c r="A1873" s="2581" t="s">
        <v>2000</v>
      </c>
      <c r="B1873" s="2570" t="s">
        <v>2249</v>
      </c>
      <c r="C1873" s="2748"/>
      <c r="D1873" s="478"/>
      <c r="E1873" s="2748"/>
      <c r="F1873" s="2748"/>
      <c r="G1873" s="2748"/>
      <c r="H1873" s="2748"/>
      <c r="I1873" s="2748"/>
      <c r="J1873" s="2748"/>
      <c r="K1873" s="478"/>
      <c r="L1873" s="2711" t="str">
        <f>IF(OR($O1873=$M1873,$O1873=0,$O1873=""),"","* * Check Score! * *")</f>
        <v/>
      </c>
      <c r="M1873" s="2554">
        <v>1</v>
      </c>
      <c r="N1873" s="2703" t="s">
        <v>2000</v>
      </c>
      <c r="O1873" s="2747">
        <f>'Part IX A-Scoring Criteria'!O319</f>
        <v>0</v>
      </c>
      <c r="P1873" s="2747">
        <f>'Part IX A-Scoring Criteria'!P319</f>
        <v>0</v>
      </c>
      <c r="Q1873" s="2787" t="str">
        <f>IF(OR($O1873=$M1873,$O1873=0,$O1873=""),"","*CHECK!*")</f>
        <v/>
      </c>
      <c r="R1873" s="2831" t="s">
        <v>2723</v>
      </c>
      <c r="S1873" s="2748"/>
      <c r="T1873" s="2815"/>
      <c r="U1873" s="2815"/>
      <c r="V1873" s="2748"/>
      <c r="W1873" s="2748"/>
      <c r="X1873" s="2748"/>
      <c r="Y1873" s="2748"/>
      <c r="Z1873" s="2748"/>
    </row>
    <row r="1874" spans="1:26" ht="18.75">
      <c r="A1874" s="2581"/>
      <c r="B1874" s="2598" t="s">
        <v>4097</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1879</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2799</v>
      </c>
      <c r="B1878" s="2750" t="s">
        <v>4098</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2000</v>
      </c>
      <c r="B1879" s="2570" t="s">
        <v>4099</v>
      </c>
      <c r="C1879" s="2620"/>
      <c r="D1879" s="2725"/>
      <c r="E1879" s="478"/>
      <c r="F1879" s="2748"/>
      <c r="G1879" s="2607" t="str">
        <f>'Part IX A-Scoring Criteria'!G325</f>
        <v>NA</v>
      </c>
      <c r="H1879" s="2748"/>
      <c r="I1879" s="2748"/>
      <c r="J1879" s="2598" t="s">
        <v>2702</v>
      </c>
      <c r="K1879" s="2748"/>
      <c r="L1879" s="478"/>
      <c r="M1879" s="2748"/>
      <c r="N1879" s="2748"/>
      <c r="O1879" s="2557">
        <f>'Part I-Project Information'!$H$96</f>
        <v>0</v>
      </c>
      <c r="P1879" s="2563">
        <f>'Part IX A-Scoring Criteria'!P325</f>
        <v>0</v>
      </c>
      <c r="Q1879" s="2563"/>
      <c r="R1879" s="2748"/>
      <c r="S1879" s="2748"/>
      <c r="T1879" s="2748"/>
      <c r="U1879" s="2748"/>
      <c r="V1879" s="2748"/>
      <c r="W1879" s="2748"/>
      <c r="X1879" s="2748"/>
      <c r="Y1879" s="2748"/>
      <c r="Z1879" s="2748"/>
    </row>
    <row r="1880" spans="1:26" ht="15">
      <c r="A1880" s="2581"/>
      <c r="B1880" s="2820" t="s">
        <v>2001</v>
      </c>
      <c r="C1880" s="478" t="s">
        <v>3482</v>
      </c>
      <c r="D1880" s="2355"/>
      <c r="E1880" s="2766"/>
      <c r="F1880" s="2766"/>
      <c r="G1880" s="2766"/>
      <c r="H1880" s="2766"/>
      <c r="I1880" s="2766"/>
      <c r="J1880" s="2766"/>
      <c r="K1880" s="2766"/>
      <c r="L1880" s="2766"/>
      <c r="M1880" s="2766"/>
      <c r="N1880" s="2817" t="s">
        <v>2001</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2003</v>
      </c>
      <c r="C1881" s="478" t="s">
        <v>4118</v>
      </c>
      <c r="D1881" s="2355"/>
      <c r="E1881" s="2766"/>
      <c r="F1881" s="2766"/>
      <c r="G1881" s="2766"/>
      <c r="H1881" s="2766"/>
      <c r="I1881" s="2766"/>
      <c r="J1881" s="2766"/>
      <c r="K1881" s="2766"/>
      <c r="L1881" s="2766"/>
      <c r="M1881" s="2766"/>
      <c r="N1881" s="2817" t="s">
        <v>2003</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2550</v>
      </c>
      <c r="C1882" s="478" t="s">
        <v>4117</v>
      </c>
      <c r="D1882" s="2355"/>
      <c r="E1882" s="2766"/>
      <c r="F1882" s="2766"/>
      <c r="G1882" s="2766"/>
      <c r="H1882" s="2766"/>
      <c r="I1882" s="2766"/>
      <c r="J1882" s="2766"/>
      <c r="K1882" s="2766"/>
      <c r="L1882" s="2766"/>
      <c r="M1882" s="2766"/>
      <c r="N1882" s="2817" t="s">
        <v>2550</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1235</v>
      </c>
      <c r="C1883" s="478" t="s">
        <v>4119</v>
      </c>
      <c r="D1883" s="2355"/>
      <c r="E1883" s="2766"/>
      <c r="F1883" s="2766"/>
      <c r="G1883" s="2766"/>
      <c r="H1883" s="2766"/>
      <c r="I1883" s="2766"/>
      <c r="J1883" s="2766"/>
      <c r="K1883" s="2766"/>
      <c r="L1883" s="2766"/>
      <c r="M1883" s="2766"/>
      <c r="N1883" s="2817" t="s">
        <v>1235</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1998</v>
      </c>
      <c r="B1884" s="2570" t="s">
        <v>4100</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2001</v>
      </c>
      <c r="C1885" s="478" t="s">
        <v>3482</v>
      </c>
      <c r="D1885" s="478"/>
      <c r="E1885" s="478"/>
      <c r="F1885" s="2766"/>
      <c r="G1885" s="2766"/>
      <c r="H1885" s="2766"/>
      <c r="I1885" s="2766"/>
      <c r="J1885" s="2766"/>
      <c r="K1885" s="2766"/>
      <c r="L1885" s="2766"/>
      <c r="M1885" s="2563"/>
      <c r="N1885" s="2817" t="s">
        <v>2001</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2003</v>
      </c>
      <c r="C1886" s="478" t="s">
        <v>4131</v>
      </c>
      <c r="D1886" s="2355"/>
      <c r="E1886" s="2766"/>
      <c r="F1886" s="2766"/>
      <c r="G1886" s="2766"/>
      <c r="H1886" s="2766"/>
      <c r="I1886" s="2766"/>
      <c r="J1886" s="2766"/>
      <c r="K1886" s="2766"/>
      <c r="L1886" s="2766"/>
      <c r="M1886" s="2766"/>
      <c r="N1886" s="2817" t="s">
        <v>2003</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2550</v>
      </c>
      <c r="C1887" s="478" t="s">
        <v>4119</v>
      </c>
      <c r="D1887" s="2355"/>
      <c r="E1887" s="2766"/>
      <c r="F1887" s="2766"/>
      <c r="G1887" s="2766"/>
      <c r="H1887" s="2766"/>
      <c r="I1887" s="2766"/>
      <c r="J1887" s="2766"/>
      <c r="K1887" s="2766"/>
      <c r="L1887" s="2766"/>
      <c r="M1887" s="2766"/>
      <c r="N1887" s="2817" t="s">
        <v>2550</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1879</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2266</v>
      </c>
      <c r="B1891" s="2750" t="s">
        <v>4101</v>
      </c>
      <c r="C1891" s="2808"/>
      <c r="D1891" s="2808"/>
      <c r="E1891" s="2808"/>
      <c r="F1891" s="2808"/>
      <c r="G1891" s="2808"/>
      <c r="H1891" s="478" t="s">
        <v>3600</v>
      </c>
      <c r="I1891" s="2695" t="str">
        <f>'Part I-Project Information'!$H$100</f>
        <v>Rural</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2723</v>
      </c>
      <c r="S1891" s="2808"/>
      <c r="T1891" s="2808"/>
      <c r="U1891" s="2808"/>
      <c r="V1891" s="2808"/>
      <c r="W1891" s="2808"/>
      <c r="X1891" s="2808"/>
      <c r="Y1891" s="2808"/>
      <c r="Z1891" s="2808"/>
    </row>
    <row r="1892" spans="1:26" ht="15" customHeight="1">
      <c r="A1892" s="2662" t="s">
        <v>4834</v>
      </c>
      <c r="B1892" s="2662"/>
      <c r="C1892" s="2662"/>
      <c r="D1892" s="2662"/>
      <c r="E1892" s="2662"/>
      <c r="F1892" s="2662"/>
      <c r="G1892" s="2662"/>
      <c r="H1892" s="2662"/>
      <c r="I1892" s="2687" t="s">
        <v>4200</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The Village At Chickamauga II</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3784</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123.75">
      <c r="A1896" s="2662" t="str">
        <f>'Part IX A-Scoring Criteria'!A342</f>
        <v>The priority Point will be claimed on The Village at Chickamauga II application and not on this application.</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1879</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4155</v>
      </c>
      <c r="B1900" s="2750" t="s">
        <v>1684</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1998</v>
      </c>
      <c r="B1901" s="2695" t="s">
        <v>3641</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2723</v>
      </c>
      <c r="S1901" s="2748"/>
      <c r="T1901" s="2748"/>
      <c r="U1901" s="2748"/>
      <c r="V1901" s="2748"/>
      <c r="W1901" s="2748"/>
      <c r="X1901" s="2748"/>
      <c r="Y1901" s="2748"/>
      <c r="Z1901" s="2748"/>
    </row>
    <row r="1902" spans="1:26" ht="15">
      <c r="A1902" s="2748"/>
      <c r="B1902" s="2598" t="s">
        <v>4105</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1998</v>
      </c>
      <c r="O1902" s="2712" t="s">
        <v>2526</v>
      </c>
      <c r="P1902" s="2712" t="s">
        <v>2526</v>
      </c>
      <c r="Q1902" s="2748"/>
      <c r="R1902" s="2748"/>
      <c r="S1902" s="2748"/>
      <c r="T1902" s="2748"/>
      <c r="U1902" s="2748"/>
      <c r="V1902" s="2748"/>
      <c r="W1902" s="2748"/>
      <c r="X1902" s="2748"/>
      <c r="Y1902" s="2748"/>
      <c r="Z1902" s="2748"/>
    </row>
    <row r="1903" spans="1:26">
      <c r="A1903" s="478"/>
      <c r="B1903" s="2817" t="s">
        <v>2001</v>
      </c>
      <c r="C1903" s="2598" t="s">
        <v>4102</v>
      </c>
      <c r="D1903" s="478"/>
      <c r="E1903" s="478"/>
      <c r="F1903" s="478"/>
      <c r="G1903" s="478"/>
      <c r="H1903" s="478"/>
      <c r="I1903" s="478"/>
      <c r="J1903" s="478"/>
      <c r="K1903" s="478"/>
      <c r="L1903" s="478"/>
      <c r="M1903" s="478"/>
      <c r="N1903" s="2817" t="s">
        <v>2001</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2003</v>
      </c>
      <c r="C1904" s="2598" t="s">
        <v>4103</v>
      </c>
      <c r="D1904" s="478"/>
      <c r="E1904" s="478"/>
      <c r="F1904" s="478"/>
      <c r="G1904" s="478"/>
      <c r="H1904" s="478"/>
      <c r="I1904" s="478"/>
      <c r="J1904" s="478"/>
      <c r="K1904" s="478"/>
      <c r="L1904" s="478"/>
      <c r="M1904" s="478"/>
      <c r="N1904" s="2817" t="s">
        <v>2003</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2550</v>
      </c>
      <c r="C1905" s="2598" t="s">
        <v>4104</v>
      </c>
      <c r="D1905" s="478"/>
      <c r="E1905" s="478"/>
      <c r="F1905" s="478"/>
      <c r="G1905" s="478"/>
      <c r="H1905" s="478"/>
      <c r="I1905" s="478"/>
      <c r="J1905" s="478"/>
      <c r="K1905" s="478"/>
      <c r="L1905" s="478"/>
      <c r="M1905" s="478"/>
      <c r="N1905" s="2817" t="s">
        <v>2550</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3642</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2000</v>
      </c>
      <c r="B1908" s="2570" t="s">
        <v>2814</v>
      </c>
      <c r="D1908" s="2355"/>
      <c r="H1908" s="2876" t="s">
        <v>3508</v>
      </c>
      <c r="I1908" s="2876"/>
      <c r="J1908" s="2876"/>
      <c r="K1908" s="2876"/>
      <c r="L1908" s="2876"/>
      <c r="M1908" s="2557">
        <v>1</v>
      </c>
      <c r="N1908" s="2703" t="s">
        <v>2000</v>
      </c>
      <c r="O1908" s="2747">
        <f>'Part IX A-Scoring Criteria'!O354</f>
        <v>0</v>
      </c>
      <c r="P1908" s="2747">
        <f>'Part IX A-Scoring Criteria'!P354</f>
        <v>0</v>
      </c>
      <c r="Q1908" s="2787" t="str">
        <f>IF(OR($O1908=$M1908,$O1908=0,$O1908=""),"","*CHECK!*")</f>
        <v/>
      </c>
      <c r="R1908" s="2831" t="s">
        <v>2723</v>
      </c>
    </row>
    <row r="1909" spans="1:26">
      <c r="A1909" s="2355"/>
      <c r="B1909" s="478" t="s">
        <v>2815</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3644</v>
      </c>
      <c r="C1910" s="478" t="str">
        <f>'Part I-Project Information'!$F$38</f>
        <v>Dublin</v>
      </c>
      <c r="D1910" s="2355"/>
      <c r="E1910" s="478" t="s">
        <v>3507</v>
      </c>
      <c r="F1910" s="478" t="str">
        <f>'Part I-Project Information'!$J$39</f>
        <v>Laurens</v>
      </c>
      <c r="G1910" s="2355"/>
      <c r="H1910" s="2598" t="s">
        <v>455</v>
      </c>
      <c r="I1910" s="2598" t="str">
        <f>'Part I-Project Information'!$N$39</f>
        <v>Yes</v>
      </c>
      <c r="J1910" s="2355"/>
      <c r="K1910" s="2598" t="s">
        <v>3643</v>
      </c>
      <c r="L1910" s="2846" t="str">
        <f>'Part I-Project Information'!$O$38</f>
        <v>9504</v>
      </c>
      <c r="M1910" s="2846"/>
      <c r="N1910" s="2846"/>
      <c r="O1910" s="2846"/>
      <c r="P1910" s="2846"/>
      <c r="Q1910" s="2355"/>
      <c r="R1910" s="2355"/>
      <c r="S1910" s="2355"/>
      <c r="T1910" s="2355"/>
      <c r="U1910" s="2355"/>
      <c r="V1910" s="2355"/>
      <c r="W1910" s="2355"/>
      <c r="X1910" s="2355"/>
      <c r="Y1910" s="2355"/>
      <c r="Z1910" s="2355"/>
    </row>
    <row r="1911" spans="1:26" ht="15">
      <c r="A1911" s="2355"/>
      <c r="B1911" s="2767" t="s">
        <v>3784</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78.75">
      <c r="A1912" s="2662" t="str">
        <f>'Part IX A-Scoring Criteria'!A358</f>
        <v>Dublin is not a GICH community nor designated military zone.</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1879</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4156</v>
      </c>
      <c r="B1916" s="2750" t="s">
        <v>4108</v>
      </c>
      <c r="C1916" s="2748"/>
      <c r="D1916" s="2620"/>
      <c r="E1916" s="2620"/>
      <c r="F1916" s="478"/>
      <c r="G1916" s="478"/>
      <c r="H1916" s="2570" t="s">
        <v>2811</v>
      </c>
      <c r="I1916" s="2748"/>
      <c r="J1916" s="2570" t="str">
        <f>'Part I-Project Information'!$H$100</f>
        <v>Rural</v>
      </c>
      <c r="K1916" s="2748"/>
      <c r="L1916" s="2711" t="str">
        <f>IF(OR($O1916=$M1916,$O1916=$M1923,$O1916=$M1941,$O1916=0,$O1916=""),"","* * Check Score! * *")</f>
        <v/>
      </c>
      <c r="M1916" s="2747">
        <v>4</v>
      </c>
      <c r="N1916" s="2554"/>
      <c r="O1916" s="2747">
        <f>'Part IX A-Scoring Criteria'!O362</f>
        <v>0</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2901</v>
      </c>
      <c r="C1917" s="2748"/>
      <c r="D1917" s="2748"/>
      <c r="E1917" s="2620"/>
      <c r="F1917" s="478"/>
      <c r="G1917" s="478"/>
      <c r="H1917" s="478"/>
      <c r="I1917" s="478"/>
      <c r="J1917" s="2748"/>
      <c r="K1917" s="2660"/>
      <c r="L1917" s="2877"/>
      <c r="M1917" s="2748"/>
      <c r="N1917" s="2748"/>
      <c r="O1917" s="2660" t="s">
        <v>2526</v>
      </c>
      <c r="P1917" s="2660" t="s">
        <v>2526</v>
      </c>
      <c r="Q1917" s="2748"/>
      <c r="R1917" s="2748"/>
      <c r="S1917" s="2748"/>
      <c r="T1917" s="2748"/>
      <c r="U1917" s="2748"/>
      <c r="V1917" s="2748"/>
      <c r="W1917" s="2748"/>
      <c r="X1917" s="2748"/>
      <c r="Y1917" s="2748"/>
      <c r="Z1917" s="2748"/>
    </row>
    <row r="1918" spans="1:26" ht="45">
      <c r="A1918" s="1156"/>
      <c r="B1918" s="2703" t="s">
        <v>2450</v>
      </c>
      <c r="C1918" s="1156" t="s">
        <v>2845</v>
      </c>
      <c r="D1918" s="1156"/>
      <c r="E1918" s="2620"/>
      <c r="F1918" s="478"/>
      <c r="G1918" s="478"/>
      <c r="H1918" s="478"/>
      <c r="I1918" s="478"/>
      <c r="J1918" s="2748"/>
      <c r="K1918" s="2660"/>
      <c r="L1918" s="2737" t="str">
        <f>IF(OR(O1918="No",O1918="",O1919="No",O1919="",O1920="No",O1920="",O1921="No",O1921=""),"Unmet criterion results in no points!","")</f>
        <v>Unmet criterion results in no points!</v>
      </c>
      <c r="M1918" s="2737"/>
      <c r="N1918" s="2703" t="s">
        <v>2450</v>
      </c>
      <c r="O1918" s="2668" t="str">
        <f>'Part IX A-Scoring Criteria'!O364</f>
        <v>N/a</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2451</v>
      </c>
      <c r="C1919" s="1156" t="s">
        <v>3840</v>
      </c>
      <c r="D1919" s="1156"/>
      <c r="E1919" s="1156"/>
      <c r="F1919" s="1156"/>
      <c r="G1919" s="1156"/>
      <c r="H1919" s="1156"/>
      <c r="I1919" s="1156"/>
      <c r="J1919" s="1156"/>
      <c r="K1919" s="1156"/>
      <c r="L1919" s="2737"/>
      <c r="M1919" s="2737"/>
      <c r="N1919" s="2713" t="s">
        <v>2451</v>
      </c>
      <c r="O1919" s="2668" t="str">
        <f>'Part IX A-Scoring Criteria'!O365</f>
        <v>N/a</v>
      </c>
      <c r="P1919" s="2668">
        <f>'Part IX A-Scoring Criteria'!P365</f>
        <v>0</v>
      </c>
      <c r="Q1919" s="1156"/>
      <c r="R1919" s="2737"/>
      <c r="S1919" s="2737"/>
      <c r="T1919" s="1156"/>
      <c r="U1919" s="1156"/>
      <c r="V1919" s="1156"/>
      <c r="W1919" s="1156"/>
      <c r="X1919" s="1156"/>
      <c r="Y1919" s="1156"/>
      <c r="Z1919" s="1156"/>
    </row>
    <row r="1920" spans="1:26">
      <c r="A1920" s="1156"/>
      <c r="B1920" s="2703" t="s">
        <v>2452</v>
      </c>
      <c r="C1920" s="1156" t="s">
        <v>3839</v>
      </c>
      <c r="D1920" s="1156"/>
      <c r="E1920" s="1156"/>
      <c r="F1920" s="1156"/>
      <c r="G1920" s="1156"/>
      <c r="H1920" s="1156"/>
      <c r="I1920" s="1156"/>
      <c r="J1920" s="1156"/>
      <c r="K1920" s="1156"/>
      <c r="L1920" s="2737"/>
      <c r="M1920" s="2737"/>
      <c r="N1920" s="2703" t="s">
        <v>2452</v>
      </c>
      <c r="O1920" s="2668" t="str">
        <f>'Part IX A-Scoring Criteria'!O366</f>
        <v>N/a</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2453</v>
      </c>
      <c r="C1921" s="2627" t="s">
        <v>4109</v>
      </c>
      <c r="D1921" s="2627"/>
      <c r="E1921" s="2627"/>
      <c r="F1921" s="2627"/>
      <c r="G1921" s="2627"/>
      <c r="H1921" s="2627"/>
      <c r="I1921" s="2627"/>
      <c r="J1921" s="2627"/>
      <c r="K1921" s="2627"/>
      <c r="L1921" s="2627"/>
      <c r="M1921" s="2627"/>
      <c r="N1921" s="2713" t="s">
        <v>2453</v>
      </c>
      <c r="O1921" s="2714" t="str">
        <f>'Part IX A-Scoring Criteria'!O367</f>
        <v>No</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1998</v>
      </c>
      <c r="B1923" s="2570" t="s">
        <v>4110</v>
      </c>
      <c r="L1923" s="2711" t="str">
        <f>IF(OR($O1923=$M1923,$O1923=0,$O1923=""),"","* * Check Score! * *")</f>
        <v/>
      </c>
      <c r="M1923" s="2557">
        <v>3</v>
      </c>
      <c r="N1923" s="2703" t="s">
        <v>1998</v>
      </c>
      <c r="O1923" s="2747">
        <f>'Part IX A-Scoring Criteria'!O369</f>
        <v>0</v>
      </c>
      <c r="P1923" s="2747">
        <f>'Part IX A-Scoring Criteria'!P369</f>
        <v>0</v>
      </c>
      <c r="Q1923" s="2787" t="str">
        <f>IF(OR($O1923=$M1923,$O1923=0,$O1923=""),"","*CHECK!*")</f>
        <v/>
      </c>
      <c r="R1923" s="2831" t="s">
        <v>2723</v>
      </c>
    </row>
    <row r="1924" spans="1:26" ht="12.75" customHeight="1">
      <c r="A1924" s="2878"/>
      <c r="B1924" s="2800" t="s">
        <v>2001</v>
      </c>
      <c r="C1924" s="2662" t="s">
        <v>4111</v>
      </c>
      <c r="D1924" s="2662"/>
      <c r="E1924" s="2662"/>
      <c r="F1924" s="2662"/>
      <c r="G1924" s="2662"/>
      <c r="H1924" s="2662"/>
      <c r="I1924" s="2662"/>
      <c r="J1924" s="2811" t="s">
        <v>2005</v>
      </c>
      <c r="K1924" s="2811"/>
      <c r="M1924" s="2811" t="s">
        <v>2005</v>
      </c>
      <c r="N1924" s="2811"/>
      <c r="O1924" s="2811"/>
      <c r="P1924" s="2811"/>
    </row>
    <row r="1925" spans="1:26" ht="15">
      <c r="A1925" s="2710"/>
      <c r="B1925" s="2703" t="s">
        <v>2450</v>
      </c>
      <c r="C1925" s="478" t="s">
        <v>1493</v>
      </c>
      <c r="D1925" s="2748"/>
      <c r="E1925" s="2748"/>
      <c r="F1925" s="2748"/>
      <c r="G1925" s="2748"/>
      <c r="H1925" s="2748"/>
      <c r="I1925" s="2703" t="s">
        <v>2450</v>
      </c>
      <c r="J1925" s="2615">
        <f>'Part IX A-Scoring Criteria'!J371</f>
        <v>0</v>
      </c>
      <c r="K1925" s="2615">
        <f>'Part IX A-Scoring Criteria'!K371</f>
        <v>0</v>
      </c>
      <c r="L1925" s="2703" t="s">
        <v>2450</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2451</v>
      </c>
      <c r="C1926" s="478" t="s">
        <v>3648</v>
      </c>
      <c r="I1926" s="2713" t="s">
        <v>2451</v>
      </c>
      <c r="J1926" s="2615">
        <f>'Part IX A-Scoring Criteria'!J372</f>
        <v>0</v>
      </c>
      <c r="K1926" s="2615">
        <f>'Part IX A-Scoring Criteria'!K372</f>
        <v>0</v>
      </c>
      <c r="L1926" s="2713" t="s">
        <v>2451</v>
      </c>
      <c r="M1926" s="2615">
        <f>'Part IX A-Scoring Criteria'!M372</f>
        <v>0</v>
      </c>
      <c r="N1926" s="2615">
        <f>'Part IX A-Scoring Criteria'!N372</f>
        <v>0</v>
      </c>
      <c r="O1926" s="2615">
        <f>'Part IX A-Scoring Criteria'!O372</f>
        <v>0</v>
      </c>
      <c r="P1926" s="2615">
        <f>'Part IX A-Scoring Criteria'!P372</f>
        <v>0</v>
      </c>
      <c r="R1926" s="2711"/>
    </row>
    <row r="1927" spans="1:26">
      <c r="B1927" s="2703" t="s">
        <v>2452</v>
      </c>
      <c r="C1927" s="478" t="s">
        <v>2642</v>
      </c>
      <c r="I1927" s="2703" t="s">
        <v>2452</v>
      </c>
      <c r="J1927" s="2615">
        <f>'Part IX A-Scoring Criteria'!J373</f>
        <v>0</v>
      </c>
      <c r="K1927" s="2615">
        <f>'Part IX A-Scoring Criteria'!K373</f>
        <v>0</v>
      </c>
      <c r="L1927" s="2703" t="s">
        <v>2452</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2453</v>
      </c>
      <c r="C1928" s="478" t="s">
        <v>3483</v>
      </c>
      <c r="I1928" s="2703" t="s">
        <v>2453</v>
      </c>
      <c r="J1928" s="2615">
        <f>'Part IX A-Scoring Criteria'!J374</f>
        <v>0</v>
      </c>
      <c r="K1928" s="2615">
        <f>'Part IX A-Scoring Criteria'!K374</f>
        <v>0</v>
      </c>
      <c r="L1928" s="2703" t="s">
        <v>2453</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2454</v>
      </c>
      <c r="C1929" s="478" t="s">
        <v>2748</v>
      </c>
      <c r="D1929" s="2748"/>
      <c r="E1929" s="2748"/>
      <c r="F1929" s="2748"/>
      <c r="G1929" s="2748"/>
      <c r="H1929" s="2748"/>
      <c r="I1929" s="2713" t="s">
        <v>2454</v>
      </c>
      <c r="J1929" s="2615">
        <f>'Part IX A-Scoring Criteria'!J375</f>
        <v>0</v>
      </c>
      <c r="K1929" s="2615">
        <f>'Part IX A-Scoring Criteria'!K375</f>
        <v>0</v>
      </c>
      <c r="L1929" s="2713" t="s">
        <v>2454</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2470</v>
      </c>
      <c r="C1930" s="478" t="s">
        <v>1492</v>
      </c>
      <c r="I1930" s="2703" t="s">
        <v>2470</v>
      </c>
      <c r="J1930" s="2615">
        <f>'Part IX A-Scoring Criteria'!J376</f>
        <v>0</v>
      </c>
      <c r="K1930" s="2615">
        <f>'Part IX A-Scoring Criteria'!K376</f>
        <v>0</v>
      </c>
      <c r="L1930" s="2703" t="s">
        <v>2470</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2471</v>
      </c>
      <c r="C1931" s="478" t="s">
        <v>3646</v>
      </c>
      <c r="I1931" s="2703" t="s">
        <v>2471</v>
      </c>
      <c r="J1931" s="2615">
        <f>'Part IX A-Scoring Criteria'!J377</f>
        <v>0</v>
      </c>
      <c r="K1931" s="2615">
        <f>'Part IX A-Scoring Criteria'!K377</f>
        <v>0</v>
      </c>
      <c r="L1931" s="2703" t="s">
        <v>2471</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2472</v>
      </c>
      <c r="C1932" s="478" t="s">
        <v>4553</v>
      </c>
      <c r="I1932" s="2703" t="s">
        <v>2472</v>
      </c>
      <c r="J1932" s="2615">
        <f>'Part IX A-Scoring Criteria'!J378</f>
        <v>0</v>
      </c>
      <c r="K1932" s="2615">
        <f>'Part IX A-Scoring Criteria'!K378</f>
        <v>0</v>
      </c>
      <c r="L1932" s="2703" t="s">
        <v>2472</v>
      </c>
      <c r="M1932" s="2615">
        <f>'Part IX A-Scoring Criteria'!M378</f>
        <v>0</v>
      </c>
      <c r="N1932" s="2615">
        <f>'Part IX A-Scoring Criteria'!N378</f>
        <v>0</v>
      </c>
      <c r="O1932" s="2615">
        <f>'Part IX A-Scoring Criteria'!O378</f>
        <v>0</v>
      </c>
      <c r="P1932" s="2615">
        <f>'Part IX A-Scoring Criteria'!P378</f>
        <v>0</v>
      </c>
      <c r="R1932" s="2711"/>
    </row>
    <row r="1933" spans="1:26">
      <c r="B1933" s="2703" t="s">
        <v>2473</v>
      </c>
      <c r="C1933" s="478" t="s">
        <v>3647</v>
      </c>
      <c r="I1933" s="2703" t="s">
        <v>2473</v>
      </c>
      <c r="J1933" s="2615">
        <f>'Part IX A-Scoring Criteria'!J379</f>
        <v>0</v>
      </c>
      <c r="K1933" s="2615">
        <f>'Part IX A-Scoring Criteria'!K379</f>
        <v>0</v>
      </c>
      <c r="L1933" s="2703" t="s">
        <v>2473</v>
      </c>
      <c r="M1933" s="2615">
        <f>'Part IX A-Scoring Criteria'!M379</f>
        <v>0</v>
      </c>
      <c r="N1933" s="2615">
        <f>'Part IX A-Scoring Criteria'!N379</f>
        <v>0</v>
      </c>
      <c r="O1933" s="2615">
        <f>'Part IX A-Scoring Criteria'!O379</f>
        <v>0</v>
      </c>
      <c r="P1933" s="2615">
        <f>'Part IX A-Scoring Criteria'!P379</f>
        <v>0</v>
      </c>
      <c r="R1933" s="2711"/>
    </row>
    <row r="1934" spans="1:26">
      <c r="B1934" s="2703" t="s">
        <v>3649</v>
      </c>
      <c r="C1934" s="478" t="s">
        <v>4193</v>
      </c>
      <c r="I1934" s="2703" t="s">
        <v>3649</v>
      </c>
      <c r="J1934" s="2615">
        <f>'Part IX A-Scoring Criteria'!J380</f>
        <v>0</v>
      </c>
      <c r="K1934" s="2615">
        <f>'Part IX A-Scoring Criteria'!K380</f>
        <v>0</v>
      </c>
      <c r="L1934" s="2703" t="s">
        <v>3649</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4835</v>
      </c>
      <c r="H1935" s="2695" t="s">
        <v>2644</v>
      </c>
      <c r="J1935" s="2615">
        <f>SUM(J1925:K1934)</f>
        <v>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2003</v>
      </c>
      <c r="C1937" s="2605" t="s">
        <v>2643</v>
      </c>
      <c r="E1937" s="2598" t="s">
        <v>2645</v>
      </c>
      <c r="H1937" s="2690">
        <f>'Part IX A-Scoring Criteria'!H383</f>
        <v>0</v>
      </c>
      <c r="I1937" s="2557"/>
      <c r="J1937" s="2615">
        <f>'Part IV-A-Uses of Funds'!$G$132</f>
        <v>3838818</v>
      </c>
      <c r="K1937" s="2615"/>
      <c r="M1937" s="2348"/>
      <c r="N1937" s="2348"/>
      <c r="P1937" s="2348"/>
    </row>
    <row r="1938" spans="1:26" ht="12.75" customHeight="1">
      <c r="A1938" s="2653" t="s">
        <v>4836</v>
      </c>
      <c r="B1938" s="2653"/>
      <c r="C1938" s="2653"/>
      <c r="D1938" s="2653"/>
      <c r="E1938" s="2736" t="s">
        <v>2646</v>
      </c>
      <c r="H1938" s="2881">
        <f>'Part IX A-Scoring Criteria'!H384</f>
        <v>0</v>
      </c>
      <c r="I1938" s="2557"/>
      <c r="J1938" s="2882">
        <f>IF($J1937=0,0,$J1935/$J1937)</f>
        <v>0</v>
      </c>
      <c r="K1938" s="2882"/>
      <c r="M1938" s="2882">
        <f>IF($J1937=0,0,$M1935/$J1937)</f>
        <v>0</v>
      </c>
      <c r="N1938" s="2882"/>
      <c r="O1938" s="2882"/>
      <c r="P1938" s="2882"/>
    </row>
    <row r="1939" spans="1:26" ht="15">
      <c r="A1939" s="2653"/>
      <c r="B1939" s="2653"/>
      <c r="C1939" s="2653"/>
      <c r="D1939" s="2653"/>
      <c r="E1939" s="2725" t="s">
        <v>4303</v>
      </c>
      <c r="F1939" s="2748"/>
      <c r="G1939" s="2748"/>
      <c r="H1939" s="2690">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2000</v>
      </c>
      <c r="B1941" s="2771" t="s">
        <v>3650</v>
      </c>
      <c r="C1941" s="2766"/>
      <c r="D1941" s="478"/>
      <c r="E1941" s="478"/>
      <c r="F1941" s="2563"/>
      <c r="G1941" s="2766"/>
      <c r="H1941" s="478"/>
      <c r="I1941" s="2563"/>
      <c r="J1941" s="2598"/>
      <c r="K1941" s="2598"/>
      <c r="L1941" s="2711" t="str">
        <f>IF(OR($O1941=$M1941,$O1941=0,$O1941=""),"","* * Check Score! * *")</f>
        <v/>
      </c>
      <c r="M1941" s="2557">
        <v>1</v>
      </c>
      <c r="N1941" s="2703" t="s">
        <v>2000</v>
      </c>
      <c r="O1941" s="2747">
        <f>'Part IX A-Scoring Criteria'!O387</f>
        <v>0</v>
      </c>
      <c r="P1941" s="2747">
        <f>'Part IX A-Scoring Criteria'!P387</f>
        <v>0</v>
      </c>
      <c r="Q1941" s="2563" t="s">
        <v>443</v>
      </c>
      <c r="R1941" s="2831" t="s">
        <v>2723</v>
      </c>
      <c r="S1941" s="2766"/>
      <c r="T1941" s="2766"/>
      <c r="U1941" s="2766"/>
      <c r="V1941" s="2815"/>
      <c r="W1941" s="2815"/>
      <c r="X1941" s="2766"/>
      <c r="Y1941" s="2766"/>
      <c r="Z1941" s="2766"/>
    </row>
    <row r="1942" spans="1:26" ht="18.75" customHeight="1">
      <c r="A1942" s="2581"/>
      <c r="B1942" s="2713" t="s">
        <v>2450</v>
      </c>
      <c r="C1942" s="2662" t="s">
        <v>4112</v>
      </c>
      <c r="D1942" s="2662"/>
      <c r="E1942" s="2662"/>
      <c r="F1942" s="2662"/>
      <c r="G1942" s="2662"/>
      <c r="H1942" s="2662"/>
      <c r="I1942" s="2662"/>
      <c r="J1942" s="2662"/>
      <c r="K1942" s="2662"/>
      <c r="L1942" s="2662"/>
      <c r="M1942" s="2662"/>
      <c r="N1942" s="2713" t="s">
        <v>2450</v>
      </c>
      <c r="O1942" s="2714">
        <f>'Part IX A-Scoring Criteria'!O388</f>
        <v>0</v>
      </c>
      <c r="P1942" s="2714">
        <f>'Part IX A-Scoring Criteria'!P388</f>
        <v>0</v>
      </c>
      <c r="Q1942" s="2748"/>
      <c r="R1942" s="2748"/>
      <c r="S1942" s="2748"/>
      <c r="T1942" s="2748"/>
      <c r="U1942" s="2748"/>
      <c r="V1942" s="2815"/>
      <c r="W1942" s="2815"/>
      <c r="X1942" s="2748"/>
      <c r="Y1942" s="2748"/>
      <c r="Z1942" s="2748"/>
    </row>
    <row r="1943" spans="1:26" ht="18.75">
      <c r="A1943" s="2581"/>
      <c r="B1943" s="2703" t="s">
        <v>2451</v>
      </c>
      <c r="C1943" s="478" t="s">
        <v>3832</v>
      </c>
      <c r="D1943" s="478"/>
      <c r="E1943" s="478"/>
      <c r="F1943" s="478"/>
      <c r="G1943" s="478"/>
      <c r="H1943" s="478"/>
      <c r="I1943" s="478"/>
      <c r="J1943" s="478"/>
      <c r="K1943" s="478"/>
      <c r="L1943" s="2748"/>
      <c r="M1943" s="478"/>
      <c r="N1943" s="2713" t="s">
        <v>2451</v>
      </c>
      <c r="O1943" s="2668">
        <f>'Part IX A-Scoring Criteria'!O389</f>
        <v>0</v>
      </c>
      <c r="P1943" s="2668">
        <f>'Part IX A-Scoring Criteria'!P389</f>
        <v>0</v>
      </c>
      <c r="Q1943" s="2748"/>
      <c r="R1943" s="2748"/>
      <c r="S1943" s="2748"/>
      <c r="T1943" s="2748"/>
      <c r="U1943" s="2748"/>
      <c r="V1943" s="2815"/>
      <c r="W1943" s="2815"/>
      <c r="X1943" s="2748"/>
      <c r="Y1943" s="2748"/>
      <c r="Z1943" s="2748"/>
    </row>
    <row r="1944" spans="1:26">
      <c r="B1944" s="2703" t="s">
        <v>2452</v>
      </c>
      <c r="C1944" s="1156" t="s">
        <v>4113</v>
      </c>
      <c r="N1944" s="2703" t="s">
        <v>2452</v>
      </c>
      <c r="O1944" s="2668">
        <f>'Part IX A-Scoring Criteria'!O390</f>
        <v>0</v>
      </c>
      <c r="P1944" s="2668">
        <f>'Part IX A-Scoring Criteria'!P390</f>
        <v>0</v>
      </c>
    </row>
    <row r="1945" spans="1:26">
      <c r="B1945" s="2767" t="s">
        <v>3784</v>
      </c>
      <c r="N1945" s="2550"/>
      <c r="O1945" s="2552"/>
      <c r="P1945" s="2552"/>
    </row>
    <row r="1946" spans="1:26" ht="45">
      <c r="A1946" s="2662" t="str">
        <f>'Part IX A-Scoring Criteria'!A392</f>
        <v>There is no favorable financing on this project.</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1879</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4154</v>
      </c>
      <c r="B1950" s="2748"/>
      <c r="C1950" s="2750" t="s">
        <v>2736</v>
      </c>
      <c r="D1950" s="2725"/>
      <c r="E1950" s="478"/>
      <c r="F1950" s="2748"/>
      <c r="G1950" s="2748"/>
      <c r="H1950" s="2748"/>
      <c r="I1950" s="2748"/>
      <c r="J1950" s="2797"/>
      <c r="K1950" s="2748"/>
      <c r="L1950" s="2748"/>
      <c r="M1950" s="2563">
        <v>3</v>
      </c>
      <c r="N1950" s="2554"/>
      <c r="O1950" s="2747">
        <f>'Part IX A-Scoring Criteria'!O396</f>
        <v>0</v>
      </c>
      <c r="P1950" s="2563">
        <f>'Part IX A-Scoring Criteria'!P396</f>
        <v>0</v>
      </c>
      <c r="Q1950" s="2563" t="s">
        <v>443</v>
      </c>
      <c r="R1950" s="2748"/>
      <c r="S1950" s="2748"/>
      <c r="T1950" s="2748"/>
      <c r="U1950" s="2748"/>
      <c r="V1950" s="2748"/>
      <c r="W1950" s="2748"/>
      <c r="X1950" s="2748"/>
      <c r="Y1950" s="2748"/>
      <c r="Z1950" s="2748"/>
    </row>
    <row r="1951" spans="1:26" ht="15">
      <c r="A1951" s="2581" t="s">
        <v>1998</v>
      </c>
      <c r="B1951" s="2570" t="s">
        <v>3676</v>
      </c>
      <c r="C1951" s="2748"/>
      <c r="D1951" s="2355"/>
      <c r="E1951" s="2355"/>
      <c r="F1951" s="2355"/>
      <c r="G1951" s="2748"/>
      <c r="H1951" s="2748"/>
      <c r="I1951" s="2748"/>
      <c r="J1951" s="2598" t="s">
        <v>3843</v>
      </c>
      <c r="K1951" s="2748"/>
      <c r="L1951" s="2635">
        <f>'Part VI-Revenues &amp; Expenses'!$O$62*0.1</f>
        <v>4.8000000000000007</v>
      </c>
      <c r="M1951" s="2554">
        <v>2</v>
      </c>
      <c r="N1951" s="2703" t="s">
        <v>1998</v>
      </c>
      <c r="O1951" s="2845">
        <f>'Part IX A-Scoring Criteria'!O397</f>
        <v>0</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2001</v>
      </c>
      <c r="C1952" s="2662" t="s">
        <v>3842</v>
      </c>
      <c r="D1952" s="2662"/>
      <c r="E1952" s="2662"/>
      <c r="F1952" s="2662"/>
      <c r="G1952" s="2662"/>
      <c r="H1952" s="2662"/>
      <c r="I1952" s="2662"/>
      <c r="J1952" s="2598" t="s">
        <v>3845</v>
      </c>
      <c r="K1952" s="2748"/>
      <c r="L1952" s="2635">
        <f>'Part VI-Revenues &amp; Expenses'!$O$58</f>
        <v>48</v>
      </c>
      <c r="M1952" s="2587" t="str">
        <f>IF(L1954&lt;L1953,"Check 1BR LI count!","")</f>
        <v/>
      </c>
      <c r="N1952" s="2774" t="s">
        <v>2001</v>
      </c>
      <c r="O1952" s="2714" t="str">
        <f>'Part IX A-Scoring Criteria'!O398</f>
        <v>Disagree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3846</v>
      </c>
      <c r="K1953" s="2799"/>
      <c r="L1953" s="2635">
        <f>L1952*0.1</f>
        <v>4.8000000000000007</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3847</v>
      </c>
      <c r="K1954" s="2799"/>
      <c r="L1954" s="2635">
        <f>'Part VI-Revenues &amp; Expenses'!$K$58</f>
        <v>20</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2003</v>
      </c>
      <c r="C1955" s="2662" t="s">
        <v>3415</v>
      </c>
      <c r="D1955" s="2662"/>
      <c r="E1955" s="2662"/>
      <c r="F1955" s="2662"/>
      <c r="G1955" s="2662"/>
      <c r="H1955" s="2662"/>
      <c r="I1955" s="2662"/>
      <c r="J1955" s="2662"/>
      <c r="K1955" s="2662"/>
      <c r="L1955" s="2662"/>
      <c r="M1955" s="2662"/>
      <c r="N1955" s="2774" t="s">
        <v>2003</v>
      </c>
      <c r="O1955" s="2668" t="str">
        <f>'Part IX A-Scoring Criteria'!O401</f>
        <v>N/a</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2550</v>
      </c>
      <c r="C1956" s="2662" t="s">
        <v>3844</v>
      </c>
      <c r="D1956" s="2662"/>
      <c r="E1956" s="2662"/>
      <c r="F1956" s="2662"/>
      <c r="G1956" s="2662"/>
      <c r="H1956" s="2662"/>
      <c r="I1956" s="2662"/>
      <c r="J1956" s="2662"/>
      <c r="K1956" s="2662"/>
      <c r="L1956" s="2662"/>
      <c r="M1956" s="2662"/>
      <c r="N1956" s="2774" t="s">
        <v>2550</v>
      </c>
      <c r="O1956" s="2668" t="str">
        <f>'Part IX A-Scoring Criteria'!O402</f>
        <v>N/a</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1235</v>
      </c>
      <c r="C1957" s="2662" t="s">
        <v>3841</v>
      </c>
      <c r="D1957" s="2662"/>
      <c r="E1957" s="2662"/>
      <c r="F1957" s="2662"/>
      <c r="G1957" s="2662"/>
      <c r="H1957" s="2662"/>
      <c r="I1957" s="2662"/>
      <c r="J1957" s="2662"/>
      <c r="K1957" s="2662"/>
      <c r="L1957" s="2662"/>
      <c r="M1957" s="2662"/>
      <c r="N1957" s="2774" t="s">
        <v>1235</v>
      </c>
      <c r="O1957" s="2668" t="str">
        <f>'Part IX A-Scoring Criteria'!O403</f>
        <v>N/a</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2000</v>
      </c>
      <c r="B1959" s="2570" t="s">
        <v>2737</v>
      </c>
      <c r="C1959" s="2748"/>
      <c r="D1959" s="2598"/>
      <c r="E1959" s="2748"/>
      <c r="F1959" s="2748"/>
      <c r="G1959" s="478"/>
      <c r="H1959" s="2748"/>
      <c r="I1959" s="2748"/>
      <c r="J1959" s="2748"/>
      <c r="K1959" s="2748"/>
      <c r="L1959" s="2748"/>
      <c r="M1959" s="2554">
        <v>3</v>
      </c>
      <c r="N1959" s="2703" t="s">
        <v>2000</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2001</v>
      </c>
      <c r="C1960" s="2662" t="s">
        <v>3864</v>
      </c>
      <c r="D1960" s="2662"/>
      <c r="E1960" s="2662"/>
      <c r="F1960" s="2662"/>
      <c r="G1960" s="2662"/>
      <c r="H1960" s="2662"/>
      <c r="I1960" s="2662"/>
      <c r="J1960" s="2662"/>
      <c r="K1960" s="2662"/>
      <c r="L1960" s="2662"/>
      <c r="M1960" s="2662"/>
      <c r="N1960" s="2774" t="s">
        <v>2001</v>
      </c>
      <c r="O1960" s="2714" t="str">
        <f>'Part IX A-Scoring Criteria'!O406</f>
        <v>Disagree</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3681</v>
      </c>
      <c r="D1961" s="2665"/>
      <c r="E1961" s="2665"/>
      <c r="F1961" s="2665"/>
      <c r="G1961" s="2433">
        <f>'Part IX A-Scoring Criteria'!G407</f>
        <v>0</v>
      </c>
      <c r="H1961" s="2433">
        <f>'Part IX A-Scoring Criteria'!H407</f>
        <v>0</v>
      </c>
      <c r="I1961" s="2433">
        <f>'Part IX A-Scoring Criteria'!I407</f>
        <v>0</v>
      </c>
      <c r="J1961" s="2883" t="s">
        <v>3682</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2003</v>
      </c>
      <c r="C1962" s="2687" t="s">
        <v>3416</v>
      </c>
      <c r="D1962" s="2687"/>
      <c r="E1962" s="2687"/>
      <c r="F1962" s="2687"/>
      <c r="G1962" s="2687"/>
      <c r="H1962" s="2687"/>
      <c r="I1962" s="2687"/>
      <c r="J1962" s="2687" t="s">
        <v>3680</v>
      </c>
      <c r="K1962" s="2687"/>
      <c r="L1962" s="2635">
        <v>0</v>
      </c>
      <c r="M1962" s="2885">
        <f>IF('Part VI-Revenues &amp; Expenses'!$O$62=0,0,L1962/'Part VI-Revenues &amp; Expenses'!$O$62)</f>
        <v>0</v>
      </c>
      <c r="N1962" s="2774" t="s">
        <v>2003</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3784</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180">
      <c r="A1964" s="2662" t="str">
        <f>'Part IX A-Scoring Criteria'!A410</f>
        <v>No points are claimed under integrated supportative housing.  The project is already 100% filled and all tenants are expected to continue to live in the complex after rehab.</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1879</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4157</v>
      </c>
      <c r="B1968" s="2750" t="s">
        <v>2738</v>
      </c>
      <c r="C1968" s="2748"/>
      <c r="D1968" s="2598"/>
      <c r="E1968" s="2748"/>
      <c r="F1968" s="2748"/>
      <c r="G1968" s="2797" t="s">
        <v>3412</v>
      </c>
      <c r="H1968" s="2748"/>
      <c r="I1968" s="2748"/>
      <c r="J1968" s="478" t="s">
        <v>3418</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3484</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2849</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1998</v>
      </c>
      <c r="B1972" s="2659" t="s">
        <v>4837</v>
      </c>
      <c r="C1972" s="2687"/>
      <c r="D1972" s="2687"/>
      <c r="E1972" s="2687"/>
      <c r="F1972" s="2687"/>
      <c r="G1972" s="2687"/>
      <c r="H1972" s="2687"/>
      <c r="I1972" s="2687"/>
      <c r="J1972" s="2799"/>
      <c r="K1972" s="2799"/>
      <c r="L1972" s="2799"/>
      <c r="M1972" s="2801">
        <v>1</v>
      </c>
      <c r="N1972" s="2713" t="s">
        <v>1998</v>
      </c>
      <c r="O1972" s="2747">
        <f>'Part IX A-Scoring Criteria'!O418</f>
        <v>0</v>
      </c>
      <c r="P1972" s="2747">
        <f>'Part IX A-Scoring Criteria'!P418</f>
        <v>0</v>
      </c>
      <c r="Q1972" s="2787" t="str">
        <f>IF(OR($O1972=$M1972,$O1972=0,$O1972=""),"","*CHECK!*")</f>
        <v/>
      </c>
      <c r="R1972" s="2831" t="s">
        <v>2723</v>
      </c>
      <c r="S1972" s="2799"/>
      <c r="T1972" s="2799"/>
      <c r="U1972" s="2799"/>
      <c r="V1972" s="2799"/>
      <c r="W1972" s="2799"/>
      <c r="X1972" s="2799"/>
      <c r="Y1972" s="2799"/>
      <c r="Z1972" s="2799"/>
    </row>
    <row r="1973" spans="1:26" ht="15" customHeight="1">
      <c r="A1973" s="2805"/>
      <c r="B1973" s="2627" t="s">
        <v>4250</v>
      </c>
      <c r="C1973" s="2627"/>
      <c r="D1973" s="2627"/>
      <c r="E1973" s="2627"/>
      <c r="F1973" s="2627"/>
      <c r="G1973" s="2627"/>
      <c r="H1973" s="2627"/>
      <c r="I1973" s="2627"/>
      <c r="J1973" s="2627"/>
      <c r="K1973" s="2627"/>
      <c r="L1973" s="2627"/>
      <c r="M1973" s="2662" t="s">
        <v>4838</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2847</v>
      </c>
      <c r="N1975" s="2801"/>
      <c r="O1975" s="2887">
        <f>'Part VI-Revenues &amp; Expenses'!$O$62</f>
        <v>48</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2848</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4839</v>
      </c>
      <c r="B1979" s="2658" t="s">
        <v>3378</v>
      </c>
      <c r="C1979" s="2687"/>
      <c r="D1979" s="2799"/>
      <c r="E1979" s="2799"/>
      <c r="F1979" s="2799"/>
      <c r="G1979" s="2799"/>
      <c r="H1979" s="2687"/>
      <c r="I1979" s="2799"/>
      <c r="J1979" s="2799"/>
      <c r="K1979" s="2799"/>
      <c r="L1979" s="2799"/>
      <c r="M1979" s="2801">
        <v>1</v>
      </c>
      <c r="N1979" s="2713" t="s">
        <v>2000</v>
      </c>
      <c r="O1979" s="2747">
        <f>'Part IX A-Scoring Criteria'!O425</f>
        <v>0</v>
      </c>
      <c r="P1979" s="2747">
        <f>'Part IX A-Scoring Criteria'!P425</f>
        <v>0</v>
      </c>
      <c r="Q1979" s="2787" t="str">
        <f>IF(OR($O1979=$M1979,$O1979=0,$O1979=""),"","*CHECK!*")</f>
        <v/>
      </c>
      <c r="R1979" s="2831" t="s">
        <v>2723</v>
      </c>
      <c r="S1979" s="2799"/>
      <c r="T1979" s="2799"/>
      <c r="U1979" s="2799"/>
      <c r="V1979" s="2799"/>
      <c r="W1979" s="2799"/>
      <c r="X1979" s="2799"/>
      <c r="Y1979" s="2799"/>
      <c r="Z1979" s="2799"/>
    </row>
    <row r="1980" spans="1:26" ht="15" customHeight="1">
      <c r="A1980" s="2889"/>
      <c r="B1980" s="2662" t="s">
        <v>4251</v>
      </c>
      <c r="C1980" s="2662"/>
      <c r="D1980" s="2662"/>
      <c r="E1980" s="2662"/>
      <c r="F1980" s="2662"/>
      <c r="G1980" s="2662"/>
      <c r="H1980" s="2662"/>
      <c r="I1980" s="2662"/>
      <c r="J1980" s="2662"/>
      <c r="K1980" s="2662"/>
      <c r="L1980" s="2662"/>
      <c r="M1980" s="2722" t="s">
        <v>2847</v>
      </c>
      <c r="N1980" s="2801"/>
      <c r="O1980" s="2887">
        <f>'Part VI-Revenues &amp; Expenses'!$O$62</f>
        <v>48</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2848</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3784</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45">
      <c r="A1983" s="2662" t="str">
        <f>'Part IX A-Scoring Criteria'!A429</f>
        <v>This is not a historic preservation project.</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1879</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4158</v>
      </c>
      <c r="B1987" s="2750" t="s">
        <v>1685</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3684</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3685</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3686</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1879</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36</v>
      </c>
      <c r="P1995" s="2892">
        <f>P1562+P1597+P1611+P1621+P1648+P1665+P1707+P1743+P1782+P1824+P1840+P1848+P1870+P1878+P1891+P1900+P1916+P1950+P1968+P1987</f>
        <v>20</v>
      </c>
      <c r="Q1995" s="2355"/>
      <c r="R1995" s="2603">
        <f>'Part IX A-Scoring Criteria'!O441</f>
        <v>36</v>
      </c>
      <c r="S1995" s="2355"/>
      <c r="T1995" s="2355"/>
      <c r="U1995" s="2355"/>
      <c r="V1995" s="2355"/>
      <c r="W1995" s="2355"/>
      <c r="X1995" s="2355"/>
      <c r="Y1995" s="2355"/>
      <c r="Z1995" s="2355"/>
    </row>
    <row r="1996" spans="1:26" ht="15.75">
      <c r="A1996" s="2748"/>
      <c r="B1996" s="2890"/>
      <c r="C1996" s="2748"/>
      <c r="F1996" s="2746"/>
      <c r="G1996" s="2746"/>
      <c r="H1996" s="2570" t="s">
        <v>4245</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4246</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4254</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3716</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4259</v>
      </c>
    </row>
    <row r="2010" spans="1:26" ht="16.5">
      <c r="A2010" s="2895" t="str">
        <f>'Part I-Project Information'!$F$34</f>
        <v>Hillcrest Apartments</v>
      </c>
    </row>
    <row r="2011" spans="1:26" ht="16.5">
      <c r="A2011" s="2895" t="str">
        <f>CONCATENATE('Part I-Project Information'!$F$38,", ", 'Part I-Project Information'!$J$39," County")</f>
        <v>Dublin, Laurens County</v>
      </c>
    </row>
    <row r="2013" spans="1:26" ht="12.75" customHeight="1">
      <c r="A2013" s="234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EmKmcrZgoKhX8jZd1Tq+uoDqzZ2RsY81d37ctv98g+cBdCtfk7vHwQqCXIKQCFHqvEAvbdtUqazKDGz6gT4BQ==" saltValue="Cq2LwkqQdTzONKrKo+pbM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A5"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2018-032 Hillcrest Apartments, Dublin, Laurens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4521</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621</v>
      </c>
      <c r="B3" s="311" t="s">
        <v>1871</v>
      </c>
      <c r="C3" s="311"/>
      <c r="E3" s="311"/>
      <c r="F3" s="311"/>
      <c r="G3" s="311"/>
      <c r="H3" s="1417" t="s">
        <v>4318</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3515" t="s">
        <v>4566</v>
      </c>
      <c r="I5" s="3516"/>
      <c r="J5" s="3516"/>
      <c r="K5" s="3516"/>
      <c r="L5" s="3516"/>
      <c r="M5" s="3516"/>
      <c r="N5" s="3517"/>
      <c r="O5" s="1557" t="s">
        <v>2004</v>
      </c>
      <c r="P5" s="1557"/>
      <c r="Q5" s="3515" t="s">
        <v>4557</v>
      </c>
      <c r="R5" s="3516"/>
      <c r="S5" s="3517"/>
      <c r="Y5" s="1163"/>
      <c r="Z5" s="1164"/>
      <c r="AA5" s="1566"/>
    </row>
    <row r="6" spans="1:27" s="305" customFormat="1" ht="11.25" customHeight="1">
      <c r="D6" s="348"/>
      <c r="E6" s="310" t="s">
        <v>1030</v>
      </c>
      <c r="F6" s="318"/>
      <c r="H6" s="3515" t="s">
        <v>4567</v>
      </c>
      <c r="I6" s="3516"/>
      <c r="J6" s="3516"/>
      <c r="K6" s="3516"/>
      <c r="L6" s="3516"/>
      <c r="M6" s="3516"/>
      <c r="N6" s="3517"/>
      <c r="O6" s="1557" t="s">
        <v>1759</v>
      </c>
      <c r="Q6" s="3515" t="s">
        <v>4558</v>
      </c>
      <c r="R6" s="3516"/>
      <c r="S6" s="3517"/>
      <c r="V6" s="1163"/>
      <c r="W6" s="1163"/>
      <c r="X6" s="1163"/>
      <c r="Y6" s="1163"/>
      <c r="Z6" s="1164"/>
      <c r="AA6" s="1566"/>
    </row>
    <row r="7" spans="1:27" s="305" customFormat="1" ht="11.25" customHeight="1">
      <c r="D7" s="348"/>
      <c r="E7" s="310" t="s">
        <v>623</v>
      </c>
      <c r="H7" s="3515" t="s">
        <v>1919</v>
      </c>
      <c r="I7" s="3516"/>
      <c r="J7" s="3517"/>
      <c r="K7" s="3518" t="s">
        <v>769</v>
      </c>
      <c r="L7" s="3515"/>
      <c r="M7" s="3516"/>
      <c r="N7" s="3517"/>
      <c r="O7" s="1557" t="s">
        <v>1733</v>
      </c>
      <c r="Q7" s="3519">
        <v>7068571414</v>
      </c>
      <c r="R7" s="3520"/>
      <c r="S7" s="3521"/>
    </row>
    <row r="8" spans="1:27" s="305" customFormat="1" ht="11.25" customHeight="1">
      <c r="D8" s="348"/>
      <c r="E8" s="310" t="s">
        <v>1811</v>
      </c>
      <c r="H8" s="3522" t="s">
        <v>855</v>
      </c>
      <c r="I8" s="1559" t="s">
        <v>2244</v>
      </c>
      <c r="J8" s="3523">
        <v>307470447</v>
      </c>
      <c r="K8" s="3517"/>
      <c r="L8" s="305" t="s">
        <v>3715</v>
      </c>
      <c r="M8" s="3524"/>
      <c r="N8" s="3525"/>
      <c r="O8" s="1557" t="s">
        <v>1994</v>
      </c>
      <c r="Q8" s="3519">
        <v>7067661095</v>
      </c>
      <c r="R8" s="3520"/>
      <c r="S8" s="3521"/>
    </row>
    <row r="9" spans="1:27" s="305" customFormat="1" ht="11.25" customHeight="1">
      <c r="D9" s="348"/>
      <c r="E9" s="310" t="s">
        <v>4319</v>
      </c>
      <c r="H9" s="3519">
        <v>7068571414</v>
      </c>
      <c r="I9" s="3521"/>
      <c r="J9" s="3526"/>
      <c r="K9" s="1569" t="s">
        <v>1999</v>
      </c>
      <c r="L9" s="3527" t="s">
        <v>4560</v>
      </c>
      <c r="M9" s="3528"/>
      <c r="N9" s="3528"/>
      <c r="O9" s="3528"/>
      <c r="P9" s="3528"/>
      <c r="Q9" s="3528"/>
      <c r="R9" s="3528"/>
      <c r="S9" s="3529"/>
    </row>
    <row r="10" spans="1:27" s="305" customFormat="1" ht="11.25" customHeight="1">
      <c r="D10" s="348"/>
      <c r="E10" s="1417" t="s">
        <v>4318</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3530" t="s">
        <v>1295</v>
      </c>
      <c r="W12" s="3530"/>
      <c r="X12" s="3530"/>
      <c r="Y12" s="3530"/>
      <c r="Z12" s="3530"/>
    </row>
    <row r="13" spans="1:27" s="305" customFormat="1" ht="11.25" customHeight="1">
      <c r="C13" s="350" t="s">
        <v>2001</v>
      </c>
      <c r="D13" s="347" t="s">
        <v>2002</v>
      </c>
      <c r="H13" s="1566"/>
      <c r="I13" s="1566"/>
      <c r="J13" s="1566"/>
      <c r="N13" s="1165"/>
      <c r="W13" s="3531"/>
      <c r="X13" s="3531"/>
      <c r="Y13" s="3531"/>
      <c r="Z13" s="3531"/>
    </row>
    <row r="14" spans="1:27" s="305" customFormat="1" ht="11.25" customHeight="1">
      <c r="D14" s="307" t="s">
        <v>2131</v>
      </c>
      <c r="E14" s="305" t="s">
        <v>1869</v>
      </c>
      <c r="H14" s="3532" t="s">
        <v>4690</v>
      </c>
      <c r="I14" s="3533"/>
      <c r="J14" s="3533"/>
      <c r="K14" s="3533"/>
      <c r="L14" s="3533"/>
      <c r="M14" s="3533"/>
      <c r="N14" s="3534"/>
      <c r="O14" s="1557" t="s">
        <v>2004</v>
      </c>
      <c r="P14" s="1557"/>
      <c r="Q14" s="3532" t="s">
        <v>4557</v>
      </c>
      <c r="R14" s="3533"/>
      <c r="S14" s="3534"/>
    </row>
    <row r="15" spans="1:27" s="305" customFormat="1" ht="11.25" customHeight="1">
      <c r="D15" s="348"/>
      <c r="E15" s="310" t="s">
        <v>1030</v>
      </c>
      <c r="F15" s="318"/>
      <c r="H15" s="3532" t="s">
        <v>4568</v>
      </c>
      <c r="I15" s="3533"/>
      <c r="J15" s="3533"/>
      <c r="K15" s="3533"/>
      <c r="L15" s="3533"/>
      <c r="M15" s="3533"/>
      <c r="N15" s="3534"/>
      <c r="O15" s="1557" t="s">
        <v>1759</v>
      </c>
      <c r="Q15" s="3532" t="s">
        <v>4558</v>
      </c>
      <c r="R15" s="3533"/>
      <c r="S15" s="3534"/>
    </row>
    <row r="16" spans="1:27" s="305" customFormat="1" ht="11.25" customHeight="1">
      <c r="D16" s="348"/>
      <c r="E16" s="310" t="s">
        <v>623</v>
      </c>
      <c r="H16" s="3532" t="s">
        <v>1919</v>
      </c>
      <c r="I16" s="3533"/>
      <c r="J16" s="3534"/>
      <c r="K16" s="1558" t="s">
        <v>2721</v>
      </c>
      <c r="L16" s="3532"/>
      <c r="M16" s="3533"/>
      <c r="N16" s="3534"/>
      <c r="O16" s="1557" t="s">
        <v>1733</v>
      </c>
      <c r="Q16" s="3535">
        <v>7068571414</v>
      </c>
      <c r="R16" s="3536"/>
      <c r="S16" s="3537"/>
    </row>
    <row r="17" spans="3:19" s="305" customFormat="1" ht="11.25" customHeight="1">
      <c r="D17" s="307"/>
      <c r="E17" s="310" t="s">
        <v>1811</v>
      </c>
      <c r="H17" s="3538" t="s">
        <v>855</v>
      </c>
      <c r="K17" s="1559" t="s">
        <v>2244</v>
      </c>
      <c r="L17" s="3539"/>
      <c r="M17" s="3540"/>
      <c r="O17" s="1557" t="s">
        <v>1994</v>
      </c>
      <c r="Q17" s="3535">
        <v>7067661095</v>
      </c>
      <c r="R17" s="3536"/>
      <c r="S17" s="3537"/>
    </row>
    <row r="18" spans="3:19" s="305" customFormat="1" ht="11.25" customHeight="1">
      <c r="D18" s="348"/>
      <c r="E18" s="310" t="s">
        <v>4319</v>
      </c>
      <c r="H18" s="3535">
        <v>7068571414</v>
      </c>
      <c r="I18" s="3537"/>
      <c r="J18" s="3541"/>
      <c r="K18" s="1569" t="s">
        <v>1999</v>
      </c>
      <c r="L18" s="3527" t="s">
        <v>4560</v>
      </c>
      <c r="M18" s="3528"/>
      <c r="N18" s="3528"/>
      <c r="O18" s="3528"/>
      <c r="P18" s="3528"/>
      <c r="Q18" s="3528"/>
      <c r="R18" s="3528"/>
      <c r="S18" s="3529"/>
    </row>
    <row r="19" spans="3:19" ht="4.1500000000000004" customHeight="1">
      <c r="D19" s="333"/>
      <c r="H19" s="3542"/>
      <c r="I19" s="3542"/>
      <c r="J19" s="3542"/>
      <c r="K19" s="1569"/>
      <c r="L19" s="3542"/>
      <c r="M19" s="3542"/>
      <c r="N19" s="1563"/>
      <c r="O19" s="1613"/>
      <c r="P19" s="1613"/>
      <c r="Q19" s="1569"/>
      <c r="R19" s="1613"/>
      <c r="S19" s="1613"/>
    </row>
    <row r="20" spans="3:19" s="305" customFormat="1" ht="11.25" customHeight="1">
      <c r="D20" s="307" t="s">
        <v>2132</v>
      </c>
      <c r="E20" s="305" t="s">
        <v>1870</v>
      </c>
      <c r="F20" s="1566"/>
      <c r="H20" s="3532" t="s">
        <v>2841</v>
      </c>
      <c r="I20" s="3533"/>
      <c r="J20" s="3533"/>
      <c r="K20" s="3533"/>
      <c r="L20" s="3533"/>
      <c r="M20" s="3533"/>
      <c r="N20" s="3534"/>
      <c r="O20" s="1557" t="s">
        <v>2004</v>
      </c>
      <c r="P20" s="1557"/>
      <c r="Q20" s="3532"/>
      <c r="R20" s="3533"/>
      <c r="S20" s="3534"/>
    </row>
    <row r="21" spans="3:19" s="305" customFormat="1" ht="11.25" customHeight="1">
      <c r="D21" s="348"/>
      <c r="E21" s="310" t="s">
        <v>1030</v>
      </c>
      <c r="F21" s="318"/>
      <c r="H21" s="3532"/>
      <c r="I21" s="3533"/>
      <c r="J21" s="3533"/>
      <c r="K21" s="3533"/>
      <c r="L21" s="3533"/>
      <c r="M21" s="3533"/>
      <c r="N21" s="3534"/>
      <c r="O21" s="1557" t="s">
        <v>1759</v>
      </c>
      <c r="Q21" s="3532"/>
      <c r="R21" s="3533"/>
      <c r="S21" s="3534"/>
    </row>
    <row r="22" spans="3:19" s="305" customFormat="1" ht="11.25" customHeight="1">
      <c r="D22" s="348"/>
      <c r="E22" s="310" t="s">
        <v>623</v>
      </c>
      <c r="H22" s="3532"/>
      <c r="I22" s="3533"/>
      <c r="J22" s="3534"/>
      <c r="K22" s="1558" t="s">
        <v>2721</v>
      </c>
      <c r="L22" s="3532"/>
      <c r="M22" s="3533"/>
      <c r="N22" s="3534"/>
      <c r="O22" s="1557" t="s">
        <v>1733</v>
      </c>
      <c r="Q22" s="3535"/>
      <c r="R22" s="3536"/>
      <c r="S22" s="3537"/>
    </row>
    <row r="23" spans="3:19" s="305" customFormat="1" ht="11.25" customHeight="1">
      <c r="E23" s="310" t="s">
        <v>1811</v>
      </c>
      <c r="H23" s="3538"/>
      <c r="K23" s="1559" t="s">
        <v>2244</v>
      </c>
      <c r="L23" s="3539"/>
      <c r="M23" s="3540"/>
      <c r="O23" s="1557" t="s">
        <v>1994</v>
      </c>
      <c r="Q23" s="3535"/>
      <c r="R23" s="3536"/>
      <c r="S23" s="3537"/>
    </row>
    <row r="24" spans="3:19" s="305" customFormat="1" ht="11.25" customHeight="1">
      <c r="D24" s="348"/>
      <c r="E24" s="310" t="s">
        <v>4319</v>
      </c>
      <c r="H24" s="3535"/>
      <c r="I24" s="3537"/>
      <c r="J24" s="3541"/>
      <c r="K24" s="1569" t="s">
        <v>1999</v>
      </c>
      <c r="L24" s="3527"/>
      <c r="M24" s="3528"/>
      <c r="N24" s="3528"/>
      <c r="O24" s="3528"/>
      <c r="P24" s="3528"/>
      <c r="Q24" s="3528"/>
      <c r="R24" s="3528"/>
      <c r="S24" s="3529"/>
    </row>
    <row r="25" spans="3:19" s="305" customFormat="1" ht="4.1500000000000004" customHeight="1">
      <c r="D25" s="348"/>
      <c r="E25" s="1566"/>
      <c r="F25" s="1566"/>
      <c r="G25" s="1557"/>
      <c r="H25" s="3542"/>
      <c r="I25" s="3542"/>
      <c r="J25" s="3542"/>
      <c r="K25" s="1569"/>
      <c r="L25" s="3542"/>
      <c r="M25" s="3542"/>
      <c r="N25" s="1563"/>
      <c r="O25" s="1613"/>
      <c r="P25" s="1613"/>
      <c r="Q25" s="1569"/>
      <c r="R25" s="1613"/>
      <c r="S25" s="1613"/>
    </row>
    <row r="26" spans="3:19" s="305" customFormat="1" ht="11.25" customHeight="1">
      <c r="D26" s="307" t="s">
        <v>1746</v>
      </c>
      <c r="E26" s="305" t="s">
        <v>1870</v>
      </c>
      <c r="F26" s="1566"/>
      <c r="H26" s="3532" t="s">
        <v>2841</v>
      </c>
      <c r="I26" s="3533"/>
      <c r="J26" s="3533"/>
      <c r="K26" s="3533"/>
      <c r="L26" s="3533"/>
      <c r="M26" s="3533"/>
      <c r="N26" s="3534"/>
      <c r="O26" s="1557" t="s">
        <v>2004</v>
      </c>
      <c r="P26" s="1557"/>
      <c r="Q26" s="3532"/>
      <c r="R26" s="3533"/>
      <c r="S26" s="3534"/>
    </row>
    <row r="27" spans="3:19" s="305" customFormat="1" ht="11.25" customHeight="1">
      <c r="D27" s="348"/>
      <c r="E27" s="310" t="s">
        <v>1030</v>
      </c>
      <c r="F27" s="318"/>
      <c r="H27" s="3532"/>
      <c r="I27" s="3533"/>
      <c r="J27" s="3533"/>
      <c r="K27" s="3533"/>
      <c r="L27" s="3533"/>
      <c r="M27" s="3533"/>
      <c r="N27" s="3534"/>
      <c r="O27" s="1557" t="s">
        <v>1759</v>
      </c>
      <c r="Q27" s="3532"/>
      <c r="R27" s="3533"/>
      <c r="S27" s="3534"/>
    </row>
    <row r="28" spans="3:19" s="305" customFormat="1" ht="11.25" customHeight="1">
      <c r="D28" s="348"/>
      <c r="E28" s="310" t="s">
        <v>623</v>
      </c>
      <c r="H28" s="3532"/>
      <c r="I28" s="3533"/>
      <c r="J28" s="3534"/>
      <c r="K28" s="1558" t="s">
        <v>2721</v>
      </c>
      <c r="L28" s="3532"/>
      <c r="M28" s="3533"/>
      <c r="N28" s="3534"/>
      <c r="O28" s="1557" t="s">
        <v>1733</v>
      </c>
      <c r="Q28" s="3535"/>
      <c r="R28" s="3536"/>
      <c r="S28" s="3537"/>
    </row>
    <row r="29" spans="3:19" s="305" customFormat="1" ht="11.25" customHeight="1">
      <c r="E29" s="310" t="s">
        <v>1811</v>
      </c>
      <c r="H29" s="3538"/>
      <c r="K29" s="1559" t="s">
        <v>2244</v>
      </c>
      <c r="L29" s="3539"/>
      <c r="M29" s="3540"/>
      <c r="O29" s="1557" t="s">
        <v>1994</v>
      </c>
      <c r="Q29" s="3535"/>
      <c r="R29" s="3536"/>
      <c r="S29" s="3537"/>
    </row>
    <row r="30" spans="3:19" s="305" customFormat="1" ht="11.25" customHeight="1">
      <c r="D30" s="348"/>
      <c r="E30" s="310" t="s">
        <v>4319</v>
      </c>
      <c r="H30" s="3535"/>
      <c r="I30" s="3537"/>
      <c r="J30" s="3541"/>
      <c r="K30" s="1569" t="s">
        <v>1999</v>
      </c>
      <c r="L30" s="3527"/>
      <c r="M30" s="3528"/>
      <c r="N30" s="3528"/>
      <c r="O30" s="3528"/>
      <c r="P30" s="3528"/>
      <c r="Q30" s="3528"/>
      <c r="R30" s="3528"/>
      <c r="S30" s="3529"/>
    </row>
    <row r="31" spans="3:19" ht="4.1500000000000004" customHeight="1"/>
    <row r="32" spans="3:19" s="305" customFormat="1" ht="11.25" customHeight="1">
      <c r="C32" s="350" t="s">
        <v>2003</v>
      </c>
      <c r="D32" s="347" t="s">
        <v>1872</v>
      </c>
      <c r="H32" s="1566"/>
      <c r="I32" s="1566"/>
      <c r="J32" s="1566"/>
      <c r="K32" s="1417" t="s">
        <v>4318</v>
      </c>
      <c r="L32" s="1566"/>
      <c r="M32" s="1566"/>
    </row>
    <row r="33" spans="3:19" s="305" customFormat="1" ht="11.25" customHeight="1">
      <c r="D33" s="307" t="s">
        <v>2131</v>
      </c>
      <c r="E33" s="305" t="s">
        <v>757</v>
      </c>
      <c r="H33" s="3532" t="s">
        <v>4569</v>
      </c>
      <c r="I33" s="3533"/>
      <c r="J33" s="3533"/>
      <c r="K33" s="3533"/>
      <c r="L33" s="3533"/>
      <c r="M33" s="3533"/>
      <c r="N33" s="3534"/>
      <c r="O33" s="1557" t="s">
        <v>2004</v>
      </c>
      <c r="P33" s="1557"/>
      <c r="Q33" s="3532" t="s">
        <v>4572</v>
      </c>
      <c r="R33" s="3533"/>
      <c r="S33" s="3534"/>
    </row>
    <row r="34" spans="3:19" s="305" customFormat="1" ht="11.25" customHeight="1">
      <c r="D34" s="348"/>
      <c r="E34" s="310" t="s">
        <v>1030</v>
      </c>
      <c r="F34" s="318"/>
      <c r="H34" s="3532" t="s">
        <v>4570</v>
      </c>
      <c r="I34" s="3533"/>
      <c r="J34" s="3533"/>
      <c r="K34" s="3533"/>
      <c r="L34" s="3533"/>
      <c r="M34" s="3533"/>
      <c r="N34" s="3534"/>
      <c r="O34" s="1557" t="s">
        <v>1759</v>
      </c>
      <c r="Q34" s="3532" t="s">
        <v>4573</v>
      </c>
      <c r="R34" s="3533"/>
      <c r="S34" s="3534"/>
    </row>
    <row r="35" spans="3:19" s="305" customFormat="1" ht="11.25" customHeight="1">
      <c r="D35" s="348"/>
      <c r="E35" s="310" t="s">
        <v>623</v>
      </c>
      <c r="H35" s="3532" t="s">
        <v>4571</v>
      </c>
      <c r="I35" s="3533"/>
      <c r="J35" s="3534"/>
      <c r="K35" s="1558" t="s">
        <v>2721</v>
      </c>
      <c r="L35" s="3532"/>
      <c r="M35" s="3533"/>
      <c r="N35" s="3534"/>
      <c r="O35" s="1557" t="s">
        <v>1733</v>
      </c>
      <c r="Q35" s="3535">
        <v>8002488863</v>
      </c>
      <c r="R35" s="3536"/>
      <c r="S35" s="3537"/>
    </row>
    <row r="36" spans="3:19" s="305" customFormat="1" ht="11.25" customHeight="1">
      <c r="E36" s="310" t="s">
        <v>1811</v>
      </c>
      <c r="H36" s="3538" t="s">
        <v>854</v>
      </c>
      <c r="K36" s="1559" t="s">
        <v>2244</v>
      </c>
      <c r="L36" s="3539"/>
      <c r="M36" s="3540"/>
      <c r="O36" s="1557" t="s">
        <v>1994</v>
      </c>
      <c r="Q36" s="3535"/>
      <c r="R36" s="3536"/>
      <c r="S36" s="3537"/>
    </row>
    <row r="37" spans="3:19" s="305" customFormat="1" ht="11.25" customHeight="1">
      <c r="D37" s="348"/>
      <c r="E37" s="310" t="s">
        <v>4319</v>
      </c>
      <c r="H37" s="3535">
        <v>8002488863</v>
      </c>
      <c r="I37" s="3537"/>
      <c r="J37" s="3541"/>
      <c r="K37" s="1569" t="s">
        <v>1999</v>
      </c>
      <c r="L37" s="3527" t="s">
        <v>4574</v>
      </c>
      <c r="M37" s="3528"/>
      <c r="N37" s="3528"/>
      <c r="O37" s="3528"/>
      <c r="P37" s="3528"/>
      <c r="Q37" s="3528"/>
      <c r="R37" s="3528"/>
      <c r="S37" s="3529"/>
    </row>
    <row r="38" spans="3:19" ht="4.1500000000000004" customHeight="1">
      <c r="H38" s="3542"/>
      <c r="I38" s="3542"/>
      <c r="J38" s="3542"/>
      <c r="K38" s="1569"/>
      <c r="L38" s="3542"/>
      <c r="M38" s="3542"/>
      <c r="N38" s="1563"/>
      <c r="O38" s="1613"/>
      <c r="P38" s="1613"/>
      <c r="Q38" s="1569"/>
      <c r="R38" s="1613"/>
      <c r="S38" s="1613"/>
    </row>
    <row r="39" spans="3:19" s="305" customFormat="1" ht="11.25" customHeight="1">
      <c r="D39" s="307" t="s">
        <v>2132</v>
      </c>
      <c r="E39" s="305" t="s">
        <v>758</v>
      </c>
      <c r="F39" s="307"/>
      <c r="H39" s="3532" t="s">
        <v>4569</v>
      </c>
      <c r="I39" s="3533"/>
      <c r="J39" s="3533"/>
      <c r="K39" s="3533"/>
      <c r="L39" s="3533"/>
      <c r="M39" s="3533"/>
      <c r="N39" s="3534"/>
      <c r="O39" s="1557" t="s">
        <v>2004</v>
      </c>
      <c r="P39" s="1557"/>
      <c r="Q39" s="3532" t="s">
        <v>4572</v>
      </c>
      <c r="R39" s="3533"/>
      <c r="S39" s="3534"/>
    </row>
    <row r="40" spans="3:19" s="305" customFormat="1" ht="11.25" customHeight="1">
      <c r="D40" s="348"/>
      <c r="E40" s="310" t="s">
        <v>1030</v>
      </c>
      <c r="F40" s="318"/>
      <c r="H40" s="3532" t="s">
        <v>4570</v>
      </c>
      <c r="I40" s="3533"/>
      <c r="J40" s="3533"/>
      <c r="K40" s="3533"/>
      <c r="L40" s="3533"/>
      <c r="M40" s="3533"/>
      <c r="N40" s="3534"/>
      <c r="O40" s="1557" t="s">
        <v>1759</v>
      </c>
      <c r="Q40" s="3532" t="s">
        <v>4573</v>
      </c>
      <c r="R40" s="3533"/>
      <c r="S40" s="3534"/>
    </row>
    <row r="41" spans="3:19" s="305" customFormat="1" ht="11.25" customHeight="1">
      <c r="D41" s="348"/>
      <c r="E41" s="310" t="s">
        <v>623</v>
      </c>
      <c r="H41" s="3532" t="s">
        <v>4571</v>
      </c>
      <c r="I41" s="3533"/>
      <c r="J41" s="3534"/>
      <c r="K41" s="1558" t="s">
        <v>2721</v>
      </c>
      <c r="L41" s="3532"/>
      <c r="M41" s="3533"/>
      <c r="N41" s="3534"/>
      <c r="O41" s="1557" t="s">
        <v>1733</v>
      </c>
      <c r="Q41" s="3535">
        <v>8002488863</v>
      </c>
      <c r="R41" s="3536"/>
      <c r="S41" s="3537"/>
    </row>
    <row r="42" spans="3:19" s="305" customFormat="1" ht="11.25" customHeight="1">
      <c r="D42" s="307"/>
      <c r="E42" s="310" t="s">
        <v>1811</v>
      </c>
      <c r="H42" s="3538" t="s">
        <v>854</v>
      </c>
      <c r="K42" s="1559" t="s">
        <v>2244</v>
      </c>
      <c r="L42" s="3539">
        <v>307160000</v>
      </c>
      <c r="M42" s="3540"/>
      <c r="O42" s="1557" t="s">
        <v>1994</v>
      </c>
      <c r="Q42" s="3535"/>
      <c r="R42" s="3536"/>
      <c r="S42" s="3537"/>
    </row>
    <row r="43" spans="3:19" s="305" customFormat="1" ht="11.25" customHeight="1">
      <c r="D43" s="348"/>
      <c r="E43" s="310" t="s">
        <v>4319</v>
      </c>
      <c r="H43" s="3535">
        <v>8002488863</v>
      </c>
      <c r="I43" s="3537"/>
      <c r="J43" s="3541"/>
      <c r="K43" s="1569" t="s">
        <v>1999</v>
      </c>
      <c r="L43" s="3527" t="s">
        <v>4574</v>
      </c>
      <c r="M43" s="3528"/>
      <c r="N43" s="3528"/>
      <c r="O43" s="3528"/>
      <c r="P43" s="3528"/>
      <c r="Q43" s="3528"/>
      <c r="R43" s="3528"/>
      <c r="S43" s="352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2550</v>
      </c>
      <c r="D45" s="347" t="s">
        <v>656</v>
      </c>
      <c r="H45" s="1566"/>
      <c r="I45" s="1566"/>
      <c r="J45" s="1566"/>
      <c r="K45" s="1417" t="s">
        <v>4318</v>
      </c>
      <c r="L45" s="1566"/>
      <c r="M45" s="1566"/>
    </row>
    <row r="46" spans="3:19" s="305" customFormat="1" ht="11.25" customHeight="1">
      <c r="E46" s="305" t="s">
        <v>93</v>
      </c>
      <c r="H46" s="3532" t="s">
        <v>2841</v>
      </c>
      <c r="I46" s="3533"/>
      <c r="J46" s="3533"/>
      <c r="K46" s="3533"/>
      <c r="L46" s="3533"/>
      <c r="M46" s="3533"/>
      <c r="N46" s="3534"/>
      <c r="O46" s="1557" t="s">
        <v>2004</v>
      </c>
      <c r="P46" s="1557"/>
      <c r="Q46" s="3532"/>
      <c r="R46" s="3533"/>
      <c r="S46" s="3534"/>
    </row>
    <row r="47" spans="3:19" s="305" customFormat="1" ht="11.25" customHeight="1">
      <c r="D47" s="348"/>
      <c r="E47" s="310" t="s">
        <v>1030</v>
      </c>
      <c r="F47" s="318"/>
      <c r="H47" s="3532"/>
      <c r="I47" s="3533"/>
      <c r="J47" s="3533"/>
      <c r="K47" s="3533"/>
      <c r="L47" s="3533"/>
      <c r="M47" s="3533"/>
      <c r="N47" s="3534"/>
      <c r="O47" s="1557" t="s">
        <v>1759</v>
      </c>
      <c r="Q47" s="3532"/>
      <c r="R47" s="3533"/>
      <c r="S47" s="3534"/>
    </row>
    <row r="48" spans="3:19" s="305" customFormat="1" ht="11.25" customHeight="1">
      <c r="D48" s="348"/>
      <c r="E48" s="310" t="s">
        <v>623</v>
      </c>
      <c r="H48" s="3532"/>
      <c r="I48" s="3533"/>
      <c r="J48" s="3534"/>
      <c r="K48" s="1558" t="s">
        <v>2721</v>
      </c>
      <c r="L48" s="3532"/>
      <c r="M48" s="3533"/>
      <c r="N48" s="3534"/>
      <c r="O48" s="1557" t="s">
        <v>1733</v>
      </c>
      <c r="Q48" s="3535"/>
      <c r="R48" s="3536"/>
      <c r="S48" s="3537"/>
    </row>
    <row r="49" spans="1:19" s="305" customFormat="1" ht="11.25" customHeight="1">
      <c r="E49" s="310" t="s">
        <v>1811</v>
      </c>
      <c r="H49" s="3538"/>
      <c r="K49" s="1559" t="s">
        <v>2244</v>
      </c>
      <c r="L49" s="3539"/>
      <c r="M49" s="3540"/>
      <c r="O49" s="1557" t="s">
        <v>1994</v>
      </c>
      <c r="Q49" s="3535"/>
      <c r="R49" s="3536"/>
      <c r="S49" s="3537"/>
    </row>
    <row r="50" spans="1:19" s="305" customFormat="1" ht="11.25" customHeight="1">
      <c r="D50" s="348"/>
      <c r="E50" s="310" t="s">
        <v>4319</v>
      </c>
      <c r="H50" s="3535"/>
      <c r="I50" s="3537"/>
      <c r="J50" s="3541"/>
      <c r="K50" s="1569" t="s">
        <v>1999</v>
      </c>
      <c r="L50" s="3527"/>
      <c r="M50" s="3528"/>
      <c r="N50" s="3528"/>
      <c r="O50" s="3528"/>
      <c r="P50" s="3528"/>
      <c r="Q50" s="3528"/>
      <c r="R50" s="3528"/>
      <c r="S50" s="3529"/>
    </row>
    <row r="51" spans="1:19" ht="6.75" customHeight="1"/>
    <row r="52" spans="1:19" s="305" customFormat="1" ht="13.15" customHeight="1">
      <c r="A52" s="307" t="s">
        <v>747</v>
      </c>
      <c r="B52" s="307" t="s">
        <v>657</v>
      </c>
      <c r="F52" s="307"/>
      <c r="G52" s="1569"/>
      <c r="H52" s="1569"/>
      <c r="I52" s="1569"/>
      <c r="J52" s="1566"/>
      <c r="K52" s="1417" t="s">
        <v>4318</v>
      </c>
      <c r="L52" s="1566"/>
      <c r="M52" s="1566"/>
      <c r="N52" s="1566"/>
      <c r="O52" s="1566"/>
      <c r="P52" s="1566"/>
      <c r="Q52" s="1566"/>
      <c r="R52" s="1566"/>
      <c r="S52" s="1566"/>
    </row>
    <row r="53" spans="1:19" s="305" customFormat="1" ht="3" customHeight="1">
      <c r="A53" s="307"/>
      <c r="B53" s="307"/>
      <c r="F53" s="307"/>
      <c r="G53" s="1569"/>
      <c r="H53" s="3543"/>
      <c r="I53" s="3543"/>
      <c r="J53" s="3543"/>
      <c r="K53" s="1563"/>
      <c r="L53" s="3543"/>
      <c r="M53" s="3543"/>
      <c r="N53" s="1563"/>
      <c r="O53" s="1613"/>
      <c r="P53" s="1613"/>
      <c r="Q53" s="1569"/>
      <c r="R53" s="1613"/>
      <c r="S53" s="1613"/>
    </row>
    <row r="54" spans="1:19" s="305" customFormat="1" ht="11.25" customHeight="1">
      <c r="B54" s="307" t="s">
        <v>1998</v>
      </c>
      <c r="C54" s="307" t="s">
        <v>284</v>
      </c>
      <c r="H54" s="3532" t="s">
        <v>4575</v>
      </c>
      <c r="I54" s="3533"/>
      <c r="J54" s="3533"/>
      <c r="K54" s="3533"/>
      <c r="L54" s="3533"/>
      <c r="M54" s="3533"/>
      <c r="N54" s="3534"/>
      <c r="O54" s="1557" t="s">
        <v>2004</v>
      </c>
      <c r="P54" s="1557"/>
      <c r="Q54" s="3532" t="s">
        <v>4557</v>
      </c>
      <c r="R54" s="3533"/>
      <c r="S54" s="3534"/>
    </row>
    <row r="55" spans="1:19" s="305" customFormat="1" ht="11.25" customHeight="1">
      <c r="D55" s="348"/>
      <c r="E55" s="310" t="s">
        <v>1030</v>
      </c>
      <c r="F55" s="318"/>
      <c r="H55" s="3532" t="s">
        <v>4576</v>
      </c>
      <c r="I55" s="3533"/>
      <c r="J55" s="3533"/>
      <c r="K55" s="3533"/>
      <c r="L55" s="3533"/>
      <c r="M55" s="3533"/>
      <c r="N55" s="3534"/>
      <c r="O55" s="1557" t="s">
        <v>1759</v>
      </c>
      <c r="Q55" s="3532" t="s">
        <v>4558</v>
      </c>
      <c r="R55" s="3533"/>
      <c r="S55" s="3534"/>
    </row>
    <row r="56" spans="1:19" s="305" customFormat="1" ht="11.25" customHeight="1">
      <c r="D56" s="348"/>
      <c r="E56" s="310" t="s">
        <v>623</v>
      </c>
      <c r="H56" s="3532" t="s">
        <v>1919</v>
      </c>
      <c r="I56" s="3533"/>
      <c r="J56" s="3534"/>
      <c r="K56" s="1558" t="s">
        <v>2721</v>
      </c>
      <c r="L56" s="3532"/>
      <c r="M56" s="3533"/>
      <c r="N56" s="3534"/>
      <c r="O56" s="1557" t="s">
        <v>1733</v>
      </c>
      <c r="Q56" s="3535">
        <v>7068571414</v>
      </c>
      <c r="R56" s="3536"/>
      <c r="S56" s="3537"/>
    </row>
    <row r="57" spans="1:19" s="305" customFormat="1" ht="11.25" customHeight="1">
      <c r="E57" s="310" t="s">
        <v>1811</v>
      </c>
      <c r="H57" s="3538" t="s">
        <v>855</v>
      </c>
      <c r="K57" s="1559" t="s">
        <v>2244</v>
      </c>
      <c r="L57" s="3539">
        <v>307470000</v>
      </c>
      <c r="M57" s="3540"/>
      <c r="O57" s="1557" t="s">
        <v>1994</v>
      </c>
      <c r="Q57" s="3535">
        <v>7067661095</v>
      </c>
      <c r="R57" s="3536"/>
      <c r="S57" s="3537"/>
    </row>
    <row r="58" spans="1:19" s="305" customFormat="1" ht="11.25" customHeight="1">
      <c r="D58" s="348"/>
      <c r="E58" s="310" t="s">
        <v>4319</v>
      </c>
      <c r="H58" s="3535">
        <v>7068571414</v>
      </c>
      <c r="I58" s="3537"/>
      <c r="J58" s="3541"/>
      <c r="K58" s="1569" t="s">
        <v>1999</v>
      </c>
      <c r="L58" s="3527" t="s">
        <v>4560</v>
      </c>
      <c r="M58" s="3528"/>
      <c r="N58" s="3528"/>
      <c r="O58" s="3528"/>
      <c r="P58" s="3528"/>
      <c r="Q58" s="3528"/>
      <c r="R58" s="3528"/>
      <c r="S58" s="3529"/>
    </row>
    <row r="59" spans="1:19" s="305" customFormat="1" ht="6.6" customHeight="1">
      <c r="D59" s="348"/>
      <c r="E59" s="1566"/>
      <c r="F59" s="1566"/>
      <c r="G59" s="1557"/>
      <c r="H59" s="3542"/>
      <c r="I59" s="3542"/>
      <c r="J59" s="3542"/>
      <c r="K59" s="1569"/>
      <c r="L59" s="3542"/>
      <c r="M59" s="3542"/>
      <c r="N59" s="1563"/>
      <c r="O59" s="1613"/>
      <c r="P59" s="1613"/>
      <c r="Q59" s="1569"/>
      <c r="R59" s="1613"/>
      <c r="S59" s="1613"/>
    </row>
    <row r="60" spans="1:19" s="305" customFormat="1" ht="11.25" customHeight="1">
      <c r="B60" s="307" t="s">
        <v>2000</v>
      </c>
      <c r="C60" s="307" t="s">
        <v>285</v>
      </c>
      <c r="H60" s="3532" t="s">
        <v>2841</v>
      </c>
      <c r="I60" s="3533"/>
      <c r="J60" s="3533"/>
      <c r="K60" s="3533"/>
      <c r="L60" s="3533"/>
      <c r="M60" s="3533"/>
      <c r="N60" s="3534"/>
      <c r="O60" s="1557" t="s">
        <v>2004</v>
      </c>
      <c r="P60" s="1557"/>
      <c r="Q60" s="3532"/>
      <c r="R60" s="3533"/>
      <c r="S60" s="3534"/>
    </row>
    <row r="61" spans="1:19" s="305" customFormat="1" ht="11.25" customHeight="1">
      <c r="D61" s="348"/>
      <c r="E61" s="310" t="s">
        <v>1030</v>
      </c>
      <c r="F61" s="318"/>
      <c r="H61" s="3532"/>
      <c r="I61" s="3533"/>
      <c r="J61" s="3533"/>
      <c r="K61" s="3533"/>
      <c r="L61" s="3533"/>
      <c r="M61" s="3533"/>
      <c r="N61" s="3534"/>
      <c r="O61" s="1557" t="s">
        <v>1759</v>
      </c>
      <c r="Q61" s="3532"/>
      <c r="R61" s="3533"/>
      <c r="S61" s="3534"/>
    </row>
    <row r="62" spans="1:19" s="305" customFormat="1" ht="11.25" customHeight="1">
      <c r="D62" s="348"/>
      <c r="E62" s="310" t="s">
        <v>623</v>
      </c>
      <c r="H62" s="3532"/>
      <c r="I62" s="3533"/>
      <c r="J62" s="3534"/>
      <c r="K62" s="1558" t="s">
        <v>2721</v>
      </c>
      <c r="L62" s="3532"/>
      <c r="M62" s="3533"/>
      <c r="N62" s="3534"/>
      <c r="O62" s="1557" t="s">
        <v>1733</v>
      </c>
      <c r="Q62" s="3535"/>
      <c r="R62" s="3536"/>
      <c r="S62" s="3537"/>
    </row>
    <row r="63" spans="1:19" s="305" customFormat="1" ht="11.25" customHeight="1">
      <c r="E63" s="310" t="s">
        <v>1811</v>
      </c>
      <c r="H63" s="3538"/>
      <c r="K63" s="1559" t="s">
        <v>2244</v>
      </c>
      <c r="L63" s="3539"/>
      <c r="M63" s="3540"/>
      <c r="O63" s="1557" t="s">
        <v>1994</v>
      </c>
      <c r="Q63" s="3535"/>
      <c r="R63" s="3536"/>
      <c r="S63" s="3537"/>
    </row>
    <row r="64" spans="1:19" s="305" customFormat="1" ht="11.25" customHeight="1">
      <c r="D64" s="348"/>
      <c r="E64" s="310" t="s">
        <v>4319</v>
      </c>
      <c r="H64" s="3535"/>
      <c r="I64" s="3537"/>
      <c r="J64" s="3541"/>
      <c r="K64" s="1569" t="s">
        <v>1999</v>
      </c>
      <c r="L64" s="3527"/>
      <c r="M64" s="3528"/>
      <c r="N64" s="3528"/>
      <c r="O64" s="3528"/>
      <c r="P64" s="3528"/>
      <c r="Q64" s="3528"/>
      <c r="R64" s="3528"/>
      <c r="S64" s="3529"/>
    </row>
    <row r="65" spans="1:19" s="305" customFormat="1" ht="6.6" customHeight="1">
      <c r="D65" s="348"/>
      <c r="E65" s="1566"/>
      <c r="F65" s="1566"/>
      <c r="G65" s="1557"/>
      <c r="H65" s="3542"/>
      <c r="I65" s="3542"/>
      <c r="J65" s="3542"/>
      <c r="K65" s="1569"/>
      <c r="L65" s="3542"/>
      <c r="M65" s="3542"/>
      <c r="N65" s="1563"/>
      <c r="O65" s="1613"/>
      <c r="P65" s="1613"/>
      <c r="Q65" s="1569"/>
      <c r="R65" s="1613"/>
      <c r="S65" s="1613"/>
    </row>
    <row r="66" spans="1:19" s="305" customFormat="1" ht="11.25" customHeight="1">
      <c r="B66" s="307" t="s">
        <v>756</v>
      </c>
      <c r="C66" s="307" t="s">
        <v>1539</v>
      </c>
      <c r="H66" s="3532" t="s">
        <v>2841</v>
      </c>
      <c r="I66" s="3533"/>
      <c r="J66" s="3533"/>
      <c r="K66" s="3533"/>
      <c r="L66" s="3533"/>
      <c r="M66" s="3533"/>
      <c r="N66" s="3534"/>
      <c r="O66" s="1557" t="s">
        <v>2004</v>
      </c>
      <c r="P66" s="1557"/>
      <c r="Q66" s="3532"/>
      <c r="R66" s="3533"/>
      <c r="S66" s="3534"/>
    </row>
    <row r="67" spans="1:19" s="305" customFormat="1" ht="11.25" customHeight="1">
      <c r="D67" s="348"/>
      <c r="E67" s="310" t="s">
        <v>1030</v>
      </c>
      <c r="F67" s="318"/>
      <c r="H67" s="3532"/>
      <c r="I67" s="3533"/>
      <c r="J67" s="3533"/>
      <c r="K67" s="3533"/>
      <c r="L67" s="3533"/>
      <c r="M67" s="3533"/>
      <c r="N67" s="3534"/>
      <c r="O67" s="1557" t="s">
        <v>1759</v>
      </c>
      <c r="Q67" s="3532"/>
      <c r="R67" s="3533"/>
      <c r="S67" s="3534"/>
    </row>
    <row r="68" spans="1:19" s="305" customFormat="1" ht="11.25" customHeight="1">
      <c r="D68" s="348"/>
      <c r="E68" s="310" t="s">
        <v>623</v>
      </c>
      <c r="H68" s="3532"/>
      <c r="I68" s="3533"/>
      <c r="J68" s="3534"/>
      <c r="K68" s="1558" t="s">
        <v>2721</v>
      </c>
      <c r="L68" s="3532"/>
      <c r="M68" s="3533"/>
      <c r="N68" s="3534"/>
      <c r="O68" s="1557" t="s">
        <v>1733</v>
      </c>
      <c r="Q68" s="3535"/>
      <c r="R68" s="3536"/>
      <c r="S68" s="3537"/>
    </row>
    <row r="69" spans="1:19" s="305" customFormat="1" ht="11.25" customHeight="1">
      <c r="E69" s="310" t="s">
        <v>1811</v>
      </c>
      <c r="H69" s="3538"/>
      <c r="K69" s="1559" t="s">
        <v>2244</v>
      </c>
      <c r="L69" s="3539"/>
      <c r="M69" s="3540"/>
      <c r="O69" s="1557" t="s">
        <v>1994</v>
      </c>
      <c r="Q69" s="3535"/>
      <c r="R69" s="3536"/>
      <c r="S69" s="3537"/>
    </row>
    <row r="70" spans="1:19" s="305" customFormat="1" ht="11.25" customHeight="1">
      <c r="D70" s="348"/>
      <c r="E70" s="310" t="s">
        <v>4319</v>
      </c>
      <c r="H70" s="3535"/>
      <c r="I70" s="3537"/>
      <c r="J70" s="3541"/>
      <c r="K70" s="1569" t="s">
        <v>1999</v>
      </c>
      <c r="L70" s="3527"/>
      <c r="M70" s="3528"/>
      <c r="N70" s="3528"/>
      <c r="O70" s="3528"/>
      <c r="P70" s="3528"/>
      <c r="Q70" s="3528"/>
      <c r="R70" s="3528"/>
      <c r="S70" s="3529"/>
    </row>
    <row r="71" spans="1:19" ht="6.6" customHeight="1">
      <c r="H71" s="3542"/>
      <c r="I71" s="3542"/>
      <c r="J71" s="3542"/>
      <c r="K71" s="1569"/>
      <c r="L71" s="3542"/>
      <c r="M71" s="3542"/>
      <c r="N71" s="1563"/>
      <c r="O71" s="1613"/>
      <c r="P71" s="1613"/>
      <c r="Q71" s="1569"/>
      <c r="R71" s="1613"/>
      <c r="S71" s="1613"/>
    </row>
    <row r="72" spans="1:19" s="305" customFormat="1" ht="11.25" customHeight="1">
      <c r="B72" s="307" t="s">
        <v>2130</v>
      </c>
      <c r="C72" s="307" t="s">
        <v>286</v>
      </c>
      <c r="H72" s="3532" t="s">
        <v>2841</v>
      </c>
      <c r="I72" s="3533"/>
      <c r="J72" s="3533"/>
      <c r="K72" s="3533"/>
      <c r="L72" s="3533"/>
      <c r="M72" s="3533"/>
      <c r="N72" s="3534"/>
      <c r="O72" s="1557" t="s">
        <v>2004</v>
      </c>
      <c r="P72" s="1557"/>
      <c r="Q72" s="3532"/>
      <c r="R72" s="3533"/>
      <c r="S72" s="3534"/>
    </row>
    <row r="73" spans="1:19" s="305" customFormat="1" ht="11.25" customHeight="1">
      <c r="D73" s="348"/>
      <c r="E73" s="310" t="s">
        <v>1030</v>
      </c>
      <c r="F73" s="318"/>
      <c r="H73" s="3532"/>
      <c r="I73" s="3533"/>
      <c r="J73" s="3533"/>
      <c r="K73" s="3533"/>
      <c r="L73" s="3533"/>
      <c r="M73" s="3533"/>
      <c r="N73" s="3534"/>
      <c r="O73" s="1557" t="s">
        <v>1759</v>
      </c>
      <c r="Q73" s="3532"/>
      <c r="R73" s="3533"/>
      <c r="S73" s="3534"/>
    </row>
    <row r="74" spans="1:19" s="305" customFormat="1" ht="11.25" customHeight="1">
      <c r="D74" s="348"/>
      <c r="E74" s="310" t="s">
        <v>623</v>
      </c>
      <c r="H74" s="3532"/>
      <c r="I74" s="3533"/>
      <c r="J74" s="3534"/>
      <c r="K74" s="1558" t="s">
        <v>2721</v>
      </c>
      <c r="L74" s="3532"/>
      <c r="M74" s="3533"/>
      <c r="N74" s="3534"/>
      <c r="O74" s="1557" t="s">
        <v>1733</v>
      </c>
      <c r="Q74" s="3535"/>
      <c r="R74" s="3536"/>
      <c r="S74" s="3537"/>
    </row>
    <row r="75" spans="1:19" s="305" customFormat="1" ht="11.25" customHeight="1">
      <c r="E75" s="310" t="s">
        <v>1811</v>
      </c>
      <c r="H75" s="3538"/>
      <c r="K75" s="1559" t="s">
        <v>2244</v>
      </c>
      <c r="L75" s="3539"/>
      <c r="M75" s="3540"/>
      <c r="O75" s="1557" t="s">
        <v>1994</v>
      </c>
      <c r="Q75" s="3535"/>
      <c r="R75" s="3536"/>
      <c r="S75" s="3537"/>
    </row>
    <row r="76" spans="1:19" s="305" customFormat="1" ht="11.25" customHeight="1">
      <c r="D76" s="348"/>
      <c r="E76" s="310" t="s">
        <v>4319</v>
      </c>
      <c r="H76" s="3535"/>
      <c r="I76" s="3537"/>
      <c r="J76" s="3541"/>
      <c r="K76" s="1569" t="s">
        <v>1999</v>
      </c>
      <c r="L76" s="3527"/>
      <c r="M76" s="3528"/>
      <c r="N76" s="3528"/>
      <c r="O76" s="3528"/>
      <c r="P76" s="3528"/>
      <c r="Q76" s="3528"/>
      <c r="R76" s="3528"/>
      <c r="S76" s="3529"/>
    </row>
    <row r="77" spans="1:19" ht="6.75" customHeight="1"/>
    <row r="78" spans="1:19" s="310" customFormat="1" ht="13.15" customHeight="1">
      <c r="A78" s="311" t="s">
        <v>749</v>
      </c>
      <c r="B78" s="311" t="s">
        <v>287</v>
      </c>
      <c r="D78" s="311"/>
      <c r="E78" s="1557"/>
      <c r="F78" s="277"/>
      <c r="G78" s="277"/>
      <c r="H78" s="277"/>
      <c r="I78" s="277"/>
      <c r="J78" s="277"/>
      <c r="K78" s="1417" t="s">
        <v>4318</v>
      </c>
      <c r="L78" s="277"/>
      <c r="M78" s="277"/>
    </row>
    <row r="79" spans="1:19" s="310" customFormat="1" ht="3" customHeight="1">
      <c r="A79" s="311"/>
      <c r="B79" s="311"/>
      <c r="D79" s="311"/>
      <c r="E79" s="1557"/>
      <c r="F79" s="277"/>
      <c r="G79" s="277"/>
      <c r="H79" s="3543"/>
      <c r="I79" s="3543"/>
      <c r="J79" s="3543"/>
      <c r="K79" s="1563"/>
      <c r="L79" s="3543"/>
      <c r="M79" s="3543"/>
      <c r="N79" s="1563"/>
      <c r="O79" s="1613"/>
      <c r="P79" s="1613"/>
      <c r="Q79" s="1569"/>
      <c r="R79" s="1613"/>
      <c r="S79" s="1613"/>
    </row>
    <row r="80" spans="1:19" s="305" customFormat="1" ht="11.25" customHeight="1">
      <c r="B80" s="307" t="s">
        <v>1998</v>
      </c>
      <c r="C80" s="307" t="s">
        <v>288</v>
      </c>
      <c r="H80" s="3532" t="s">
        <v>2841</v>
      </c>
      <c r="I80" s="3533"/>
      <c r="J80" s="3533"/>
      <c r="K80" s="3533"/>
      <c r="L80" s="3533"/>
      <c r="M80" s="3533"/>
      <c r="N80" s="3534"/>
      <c r="O80" s="1557" t="s">
        <v>2004</v>
      </c>
      <c r="P80" s="1557"/>
      <c r="Q80" s="3532"/>
      <c r="R80" s="3533"/>
      <c r="S80" s="3534"/>
    </row>
    <row r="81" spans="2:19" s="305" customFormat="1" ht="11.25" customHeight="1">
      <c r="D81" s="348"/>
      <c r="E81" s="310" t="s">
        <v>1030</v>
      </c>
      <c r="F81" s="318"/>
      <c r="H81" s="3532"/>
      <c r="I81" s="3533"/>
      <c r="J81" s="3533"/>
      <c r="K81" s="3533"/>
      <c r="L81" s="3533"/>
      <c r="M81" s="3533"/>
      <c r="N81" s="3534"/>
      <c r="O81" s="1557" t="s">
        <v>1759</v>
      </c>
      <c r="Q81" s="3532"/>
      <c r="R81" s="3533"/>
      <c r="S81" s="3534"/>
    </row>
    <row r="82" spans="2:19" s="305" customFormat="1" ht="11.25" customHeight="1">
      <c r="D82" s="348"/>
      <c r="E82" s="310" t="s">
        <v>623</v>
      </c>
      <c r="H82" s="3532"/>
      <c r="I82" s="3533"/>
      <c r="J82" s="3534"/>
      <c r="K82" s="1558" t="s">
        <v>2721</v>
      </c>
      <c r="L82" s="3532"/>
      <c r="M82" s="3533"/>
      <c r="N82" s="3534"/>
      <c r="O82" s="1557" t="s">
        <v>1733</v>
      </c>
      <c r="Q82" s="3535"/>
      <c r="R82" s="3536"/>
      <c r="S82" s="3537"/>
    </row>
    <row r="83" spans="2:19" s="305" customFormat="1" ht="11.25" customHeight="1">
      <c r="E83" s="310" t="s">
        <v>1811</v>
      </c>
      <c r="H83" s="3538"/>
      <c r="K83" s="1559" t="s">
        <v>2244</v>
      </c>
      <c r="L83" s="3539"/>
      <c r="M83" s="3540"/>
      <c r="O83" s="1557" t="s">
        <v>1994</v>
      </c>
      <c r="Q83" s="3535"/>
      <c r="R83" s="3536"/>
      <c r="S83" s="3537"/>
    </row>
    <row r="84" spans="2:19" s="305" customFormat="1" ht="11.25" customHeight="1">
      <c r="D84" s="348"/>
      <c r="E84" s="310" t="s">
        <v>4319</v>
      </c>
      <c r="H84" s="3535"/>
      <c r="I84" s="3537"/>
      <c r="J84" s="3541"/>
      <c r="K84" s="1569" t="s">
        <v>1999</v>
      </c>
      <c r="L84" s="3527"/>
      <c r="M84" s="3528"/>
      <c r="N84" s="3528"/>
      <c r="O84" s="3528"/>
      <c r="P84" s="3528"/>
      <c r="Q84" s="3528"/>
      <c r="R84" s="3528"/>
      <c r="S84" s="3529"/>
    </row>
    <row r="85" spans="2:19" ht="6.6" customHeight="1">
      <c r="H85" s="3542"/>
      <c r="I85" s="3542"/>
      <c r="J85" s="3542"/>
      <c r="K85" s="1569"/>
      <c r="L85" s="3542"/>
      <c r="M85" s="3542"/>
      <c r="N85" s="1563"/>
      <c r="O85" s="1613"/>
      <c r="P85" s="1613"/>
      <c r="Q85" s="1569"/>
      <c r="R85" s="1613"/>
      <c r="S85" s="1613"/>
    </row>
    <row r="86" spans="2:19" s="305" customFormat="1" ht="11.25" customHeight="1">
      <c r="B86" s="307" t="s">
        <v>2000</v>
      </c>
      <c r="C86" s="307" t="s">
        <v>289</v>
      </c>
      <c r="H86" s="3532" t="s">
        <v>4577</v>
      </c>
      <c r="I86" s="3533"/>
      <c r="J86" s="3533"/>
      <c r="K86" s="3533"/>
      <c r="L86" s="3533"/>
      <c r="M86" s="3533"/>
      <c r="N86" s="3534"/>
      <c r="O86" s="1557" t="s">
        <v>2004</v>
      </c>
      <c r="P86" s="1557"/>
      <c r="Q86" s="3532" t="s">
        <v>4579</v>
      </c>
      <c r="R86" s="3533"/>
      <c r="S86" s="3534"/>
    </row>
    <row r="87" spans="2:19" s="305" customFormat="1" ht="11.25" customHeight="1">
      <c r="D87" s="348"/>
      <c r="E87" s="310" t="s">
        <v>1030</v>
      </c>
      <c r="F87" s="318"/>
      <c r="H87" s="3532" t="s">
        <v>4685</v>
      </c>
      <c r="I87" s="3533"/>
      <c r="J87" s="3533"/>
      <c r="K87" s="3533"/>
      <c r="L87" s="3533"/>
      <c r="M87" s="3533"/>
      <c r="N87" s="3534"/>
      <c r="O87" s="1557" t="s">
        <v>1759</v>
      </c>
      <c r="Q87" s="3532" t="s">
        <v>1863</v>
      </c>
      <c r="R87" s="3533"/>
      <c r="S87" s="3534"/>
    </row>
    <row r="88" spans="2:19" s="305" customFormat="1" ht="11.25" customHeight="1">
      <c r="D88" s="348"/>
      <c r="E88" s="310" t="s">
        <v>623</v>
      </c>
      <c r="H88" s="3532" t="s">
        <v>4578</v>
      </c>
      <c r="I88" s="3533"/>
      <c r="J88" s="3534"/>
      <c r="K88" s="1558" t="s">
        <v>2721</v>
      </c>
      <c r="L88" s="3532"/>
      <c r="M88" s="3533"/>
      <c r="N88" s="3534"/>
      <c r="O88" s="1557" t="s">
        <v>1733</v>
      </c>
      <c r="Q88" s="3535">
        <v>2568786054</v>
      </c>
      <c r="R88" s="3536"/>
      <c r="S88" s="3537"/>
    </row>
    <row r="89" spans="2:19" s="305" customFormat="1" ht="11.25" customHeight="1">
      <c r="E89" s="310" t="s">
        <v>1811</v>
      </c>
      <c r="H89" s="3538" t="s">
        <v>845</v>
      </c>
      <c r="K89" s="1559" t="s">
        <v>2244</v>
      </c>
      <c r="L89" s="3539">
        <v>359500000</v>
      </c>
      <c r="M89" s="3540"/>
      <c r="O89" s="1557" t="s">
        <v>1994</v>
      </c>
      <c r="Q89" s="3535">
        <v>2565582764</v>
      </c>
      <c r="R89" s="3536"/>
      <c r="S89" s="3537"/>
    </row>
    <row r="90" spans="2:19" s="305" customFormat="1" ht="11.25" customHeight="1">
      <c r="D90" s="348"/>
      <c r="E90" s="310" t="s">
        <v>4319</v>
      </c>
      <c r="H90" s="3535">
        <v>2568786054</v>
      </c>
      <c r="I90" s="3537"/>
      <c r="J90" s="3541"/>
      <c r="K90" s="1569" t="s">
        <v>1999</v>
      </c>
      <c r="L90" s="3527" t="s">
        <v>4580</v>
      </c>
      <c r="M90" s="3528"/>
      <c r="N90" s="3528"/>
      <c r="O90" s="3528"/>
      <c r="P90" s="3528"/>
      <c r="Q90" s="3528"/>
      <c r="R90" s="3528"/>
      <c r="S90" s="3529"/>
    </row>
    <row r="91" spans="2:19" ht="6.6" customHeight="1">
      <c r="H91" s="3542"/>
      <c r="I91" s="3542"/>
      <c r="J91" s="3542"/>
      <c r="K91" s="1569"/>
      <c r="L91" s="3542"/>
      <c r="M91" s="3542"/>
      <c r="N91" s="1563"/>
      <c r="O91" s="1613"/>
      <c r="P91" s="1613"/>
      <c r="Q91" s="1569"/>
      <c r="R91" s="1613"/>
      <c r="S91" s="1613"/>
    </row>
    <row r="92" spans="2:19" s="305" customFormat="1" ht="11.25" customHeight="1">
      <c r="B92" s="307" t="s">
        <v>756</v>
      </c>
      <c r="C92" s="307" t="s">
        <v>290</v>
      </c>
      <c r="F92" s="324"/>
      <c r="H92" s="3532" t="s">
        <v>4581</v>
      </c>
      <c r="I92" s="3533"/>
      <c r="J92" s="3533"/>
      <c r="K92" s="3533"/>
      <c r="L92" s="3533"/>
      <c r="M92" s="3533"/>
      <c r="N92" s="3534"/>
      <c r="O92" s="1557" t="s">
        <v>2004</v>
      </c>
      <c r="P92" s="1557"/>
      <c r="Q92" s="3532" t="s">
        <v>4584</v>
      </c>
      <c r="R92" s="3533"/>
      <c r="S92" s="3534"/>
    </row>
    <row r="93" spans="2:19" s="305" customFormat="1" ht="11.25" customHeight="1">
      <c r="D93" s="348"/>
      <c r="E93" s="310" t="s">
        <v>1030</v>
      </c>
      <c r="F93" s="318"/>
      <c r="H93" s="3532" t="s">
        <v>4582</v>
      </c>
      <c r="I93" s="3533"/>
      <c r="J93" s="3533"/>
      <c r="K93" s="3533"/>
      <c r="L93" s="3533"/>
      <c r="M93" s="3533"/>
      <c r="N93" s="3534"/>
      <c r="O93" s="1557" t="s">
        <v>1759</v>
      </c>
      <c r="Q93" s="3532" t="s">
        <v>1863</v>
      </c>
      <c r="R93" s="3533"/>
      <c r="S93" s="3534"/>
    </row>
    <row r="94" spans="2:19" s="305" customFormat="1" ht="11.25" customHeight="1">
      <c r="D94" s="348"/>
      <c r="E94" s="310" t="s">
        <v>623</v>
      </c>
      <c r="H94" s="3532" t="s">
        <v>2544</v>
      </c>
      <c r="I94" s="3533"/>
      <c r="J94" s="3534"/>
      <c r="K94" s="1558" t="s">
        <v>2721</v>
      </c>
      <c r="L94" s="3532"/>
      <c r="M94" s="3533"/>
      <c r="N94" s="3534"/>
      <c r="O94" s="1557" t="s">
        <v>1733</v>
      </c>
      <c r="Q94" s="3535">
        <v>8037883800</v>
      </c>
      <c r="R94" s="3536"/>
      <c r="S94" s="3537"/>
    </row>
    <row r="95" spans="2:19" s="305" customFormat="1" ht="11.25" customHeight="1">
      <c r="D95" s="348"/>
      <c r="E95" s="310" t="s">
        <v>1811</v>
      </c>
      <c r="H95" s="3538" t="s">
        <v>1367</v>
      </c>
      <c r="K95" s="1559" t="s">
        <v>2244</v>
      </c>
      <c r="L95" s="3539">
        <v>292243589</v>
      </c>
      <c r="M95" s="3540"/>
      <c r="O95" s="1557" t="s">
        <v>1994</v>
      </c>
      <c r="Q95" s="3535"/>
      <c r="R95" s="3536"/>
      <c r="S95" s="3537"/>
    </row>
    <row r="96" spans="2:19" s="305" customFormat="1" ht="11.25" customHeight="1">
      <c r="D96" s="348"/>
      <c r="E96" s="310" t="s">
        <v>4319</v>
      </c>
      <c r="H96" s="3535">
        <v>8037883800</v>
      </c>
      <c r="I96" s="3537"/>
      <c r="J96" s="3541"/>
      <c r="K96" s="1569" t="s">
        <v>1999</v>
      </c>
      <c r="L96" s="3527" t="s">
        <v>4583</v>
      </c>
      <c r="M96" s="3528"/>
      <c r="N96" s="3528"/>
      <c r="O96" s="3528"/>
      <c r="P96" s="3528"/>
      <c r="Q96" s="3528"/>
      <c r="R96" s="3528"/>
      <c r="S96" s="3529"/>
    </row>
    <row r="97" spans="2:19" ht="6.6" customHeight="1">
      <c r="H97" s="3542"/>
      <c r="I97" s="3542"/>
      <c r="J97" s="3542"/>
      <c r="K97" s="1569"/>
      <c r="L97" s="3542"/>
      <c r="M97" s="3542"/>
      <c r="N97" s="1563"/>
      <c r="O97" s="1613"/>
      <c r="P97" s="1613"/>
      <c r="Q97" s="1569"/>
      <c r="R97" s="1613"/>
      <c r="S97" s="1613"/>
    </row>
    <row r="98" spans="2:19" s="305" customFormat="1" ht="11.25" customHeight="1">
      <c r="B98" s="307" t="s">
        <v>2130</v>
      </c>
      <c r="C98" s="307" t="s">
        <v>291</v>
      </c>
      <c r="H98" s="3532" t="s">
        <v>4585</v>
      </c>
      <c r="I98" s="3533"/>
      <c r="J98" s="3533"/>
      <c r="K98" s="3533"/>
      <c r="L98" s="3533"/>
      <c r="M98" s="3533"/>
      <c r="N98" s="3534"/>
      <c r="O98" s="1557" t="s">
        <v>2004</v>
      </c>
      <c r="P98" s="1557"/>
      <c r="Q98" s="3532" t="s">
        <v>4587</v>
      </c>
      <c r="R98" s="3533"/>
      <c r="S98" s="3534"/>
    </row>
    <row r="99" spans="2:19" s="305" customFormat="1" ht="11.25" customHeight="1">
      <c r="D99" s="348"/>
      <c r="E99" s="310" t="s">
        <v>1030</v>
      </c>
      <c r="F99" s="318"/>
      <c r="H99" s="3532" t="s">
        <v>4586</v>
      </c>
      <c r="I99" s="3533"/>
      <c r="J99" s="3533"/>
      <c r="K99" s="3533"/>
      <c r="L99" s="3533"/>
      <c r="M99" s="3533"/>
      <c r="N99" s="3534"/>
      <c r="O99" s="1557" t="s">
        <v>1759</v>
      </c>
      <c r="Q99" s="3532" t="s">
        <v>4588</v>
      </c>
      <c r="R99" s="3533"/>
      <c r="S99" s="3534"/>
    </row>
    <row r="100" spans="2:19" s="305" customFormat="1" ht="11.25" customHeight="1">
      <c r="D100" s="348"/>
      <c r="E100" s="310" t="s">
        <v>623</v>
      </c>
      <c r="H100" s="3532" t="s">
        <v>1708</v>
      </c>
      <c r="I100" s="3533"/>
      <c r="J100" s="3534"/>
      <c r="K100" s="1558" t="s">
        <v>2721</v>
      </c>
      <c r="L100" s="3532"/>
      <c r="M100" s="3533"/>
      <c r="N100" s="3534"/>
      <c r="O100" s="1557" t="s">
        <v>1733</v>
      </c>
      <c r="Q100" s="3535">
        <v>2292427562</v>
      </c>
      <c r="R100" s="3536"/>
      <c r="S100" s="3537"/>
    </row>
    <row r="101" spans="2:19" s="305" customFormat="1" ht="11.25" customHeight="1">
      <c r="D101" s="348"/>
      <c r="E101" s="310" t="s">
        <v>1811</v>
      </c>
      <c r="H101" s="3538" t="s">
        <v>855</v>
      </c>
      <c r="K101" s="1559" t="s">
        <v>2244</v>
      </c>
      <c r="L101" s="3539">
        <v>316010000</v>
      </c>
      <c r="M101" s="3540"/>
      <c r="O101" s="1557" t="s">
        <v>1994</v>
      </c>
      <c r="Q101" s="3535"/>
      <c r="R101" s="3536"/>
      <c r="S101" s="3537"/>
    </row>
    <row r="102" spans="2:19" ht="11.25" customHeight="1">
      <c r="E102" s="310" t="s">
        <v>4319</v>
      </c>
      <c r="F102" s="305"/>
      <c r="G102" s="305"/>
      <c r="H102" s="3535">
        <v>9122427562</v>
      </c>
      <c r="I102" s="3537"/>
      <c r="J102" s="3541"/>
      <c r="K102" s="1569" t="s">
        <v>1999</v>
      </c>
      <c r="L102" s="3527" t="s">
        <v>4589</v>
      </c>
      <c r="M102" s="3528"/>
      <c r="N102" s="3528"/>
      <c r="O102" s="3528"/>
      <c r="P102" s="3528"/>
      <c r="Q102" s="3528"/>
      <c r="R102" s="3528"/>
      <c r="S102" s="3529"/>
    </row>
    <row r="103" spans="2:19" ht="6" customHeight="1">
      <c r="E103" s="310"/>
      <c r="F103" s="305"/>
      <c r="G103" s="1566"/>
      <c r="H103" s="3543"/>
      <c r="I103" s="3543"/>
      <c r="J103" s="3543"/>
      <c r="K103" s="1563"/>
      <c r="L103" s="3543"/>
      <c r="M103" s="3543"/>
      <c r="N103" s="1563"/>
      <c r="O103" s="1613"/>
      <c r="P103" s="1613"/>
      <c r="Q103" s="1569"/>
      <c r="R103" s="1613"/>
      <c r="S103" s="1613"/>
    </row>
    <row r="104" spans="2:19" s="305" customFormat="1" ht="11.25" customHeight="1">
      <c r="B104" s="307" t="s">
        <v>1747</v>
      </c>
      <c r="C104" s="307" t="s">
        <v>292</v>
      </c>
      <c r="H104" s="3532" t="s">
        <v>4593</v>
      </c>
      <c r="I104" s="3533"/>
      <c r="J104" s="3533"/>
      <c r="K104" s="3533"/>
      <c r="L104" s="3533"/>
      <c r="M104" s="3533"/>
      <c r="N104" s="3534"/>
      <c r="O104" s="1557" t="s">
        <v>2004</v>
      </c>
      <c r="P104" s="1557"/>
      <c r="Q104" s="3532" t="s">
        <v>4590</v>
      </c>
      <c r="R104" s="3533"/>
      <c r="S104" s="3534"/>
    </row>
    <row r="105" spans="2:19" s="305" customFormat="1" ht="11.25" customHeight="1">
      <c r="D105" s="348"/>
      <c r="E105" s="310" t="s">
        <v>1030</v>
      </c>
      <c r="F105" s="318"/>
      <c r="H105" s="3532" t="s">
        <v>4591</v>
      </c>
      <c r="I105" s="3533"/>
      <c r="J105" s="3533"/>
      <c r="K105" s="3533"/>
      <c r="L105" s="3533"/>
      <c r="M105" s="3533"/>
      <c r="N105" s="3534"/>
      <c r="O105" s="1557" t="s">
        <v>1759</v>
      </c>
      <c r="Q105" s="3532" t="s">
        <v>4588</v>
      </c>
      <c r="R105" s="3533"/>
      <c r="S105" s="3534"/>
    </row>
    <row r="106" spans="2:19" s="305" customFormat="1" ht="11.25" customHeight="1">
      <c r="D106" s="348"/>
      <c r="E106" s="310" t="s">
        <v>623</v>
      </c>
      <c r="H106" s="3532" t="s">
        <v>1216</v>
      </c>
      <c r="I106" s="3533"/>
      <c r="J106" s="3534"/>
      <c r="K106" s="1558" t="s">
        <v>2721</v>
      </c>
      <c r="L106" s="3532"/>
      <c r="M106" s="3533"/>
      <c r="N106" s="3534"/>
      <c r="O106" s="1557" t="s">
        <v>1733</v>
      </c>
      <c r="Q106" s="3535">
        <v>4048929651</v>
      </c>
      <c r="R106" s="3536"/>
      <c r="S106" s="3537"/>
    </row>
    <row r="107" spans="2:19" s="305" customFormat="1" ht="11.25" customHeight="1">
      <c r="D107" s="348"/>
      <c r="E107" s="310" t="s">
        <v>1811</v>
      </c>
      <c r="H107" s="3538" t="s">
        <v>855</v>
      </c>
      <c r="K107" s="1559" t="s">
        <v>2244</v>
      </c>
      <c r="L107" s="3539">
        <v>303420000</v>
      </c>
      <c r="M107" s="3540"/>
      <c r="O107" s="1557" t="s">
        <v>1994</v>
      </c>
      <c r="Q107" s="3535"/>
      <c r="R107" s="3536"/>
      <c r="S107" s="3537"/>
    </row>
    <row r="108" spans="2:19" ht="11.25" customHeight="1">
      <c r="E108" s="310" t="s">
        <v>4319</v>
      </c>
      <c r="F108" s="305"/>
      <c r="G108" s="305"/>
      <c r="H108" s="3535">
        <v>4948988244</v>
      </c>
      <c r="I108" s="3537"/>
      <c r="J108" s="3541"/>
      <c r="K108" s="1569" t="s">
        <v>1999</v>
      </c>
      <c r="L108" s="3527" t="s">
        <v>4592</v>
      </c>
      <c r="M108" s="3528"/>
      <c r="N108" s="3528"/>
      <c r="O108" s="3528"/>
      <c r="P108" s="3528"/>
      <c r="Q108" s="3528"/>
      <c r="R108" s="3528"/>
      <c r="S108" s="3529"/>
    </row>
    <row r="109" spans="2:19" ht="6.6" customHeight="1">
      <c r="E109" s="310"/>
      <c r="F109" s="305"/>
      <c r="G109" s="1566"/>
      <c r="H109" s="3542"/>
      <c r="I109" s="3542"/>
      <c r="J109" s="3542"/>
      <c r="K109" s="1569"/>
      <c r="L109" s="3542"/>
      <c r="M109" s="3542"/>
      <c r="N109" s="1563"/>
      <c r="O109" s="1613"/>
      <c r="P109" s="1613"/>
      <c r="Q109" s="1569"/>
      <c r="R109" s="1613"/>
      <c r="S109" s="1613"/>
    </row>
    <row r="110" spans="2:19" s="305" customFormat="1" ht="11.25" customHeight="1">
      <c r="B110" s="307" t="s">
        <v>1748</v>
      </c>
      <c r="C110" s="307" t="s">
        <v>293</v>
      </c>
      <c r="H110" s="3532" t="s">
        <v>4594</v>
      </c>
      <c r="I110" s="3533"/>
      <c r="J110" s="3533"/>
      <c r="K110" s="3533"/>
      <c r="L110" s="3533"/>
      <c r="M110" s="3533"/>
      <c r="N110" s="3534"/>
      <c r="O110" s="1557" t="s">
        <v>2004</v>
      </c>
      <c r="P110" s="1557"/>
      <c r="Q110" s="3532" t="s">
        <v>4596</v>
      </c>
      <c r="R110" s="3533"/>
      <c r="S110" s="3534"/>
    </row>
    <row r="111" spans="2:19" s="305" customFormat="1" ht="11.25" customHeight="1">
      <c r="D111" s="348"/>
      <c r="E111" s="310" t="s">
        <v>1030</v>
      </c>
      <c r="F111" s="318"/>
      <c r="H111" s="3532" t="s">
        <v>4595</v>
      </c>
      <c r="I111" s="3533"/>
      <c r="J111" s="3533"/>
      <c r="K111" s="3533"/>
      <c r="L111" s="3533"/>
      <c r="M111" s="3533"/>
      <c r="N111" s="3534"/>
      <c r="O111" s="1557" t="s">
        <v>1759</v>
      </c>
      <c r="Q111" s="3532" t="s">
        <v>1863</v>
      </c>
      <c r="R111" s="3533"/>
      <c r="S111" s="3534"/>
    </row>
    <row r="112" spans="2:19" s="305" customFormat="1" ht="11.25" customHeight="1">
      <c r="D112" s="348"/>
      <c r="E112" s="310" t="s">
        <v>623</v>
      </c>
      <c r="H112" s="3532" t="s">
        <v>185</v>
      </c>
      <c r="I112" s="3533"/>
      <c r="J112" s="3534"/>
      <c r="K112" s="1558" t="s">
        <v>2721</v>
      </c>
      <c r="L112" s="3532"/>
      <c r="M112" s="3533"/>
      <c r="N112" s="3534"/>
      <c r="O112" s="1557" t="s">
        <v>1733</v>
      </c>
      <c r="Q112" s="3535">
        <v>3362724040</v>
      </c>
      <c r="R112" s="3536"/>
      <c r="S112" s="3537"/>
    </row>
    <row r="113" spans="1:22" s="305" customFormat="1" ht="11.25" customHeight="1">
      <c r="D113" s="352"/>
      <c r="E113" s="310" t="s">
        <v>1811</v>
      </c>
      <c r="H113" s="3538" t="s">
        <v>845</v>
      </c>
      <c r="K113" s="1559" t="s">
        <v>2244</v>
      </c>
      <c r="L113" s="3539"/>
      <c r="M113" s="3540"/>
      <c r="O113" s="1557" t="s">
        <v>1994</v>
      </c>
      <c r="Q113" s="3535"/>
      <c r="R113" s="3536"/>
      <c r="S113" s="3537"/>
    </row>
    <row r="114" spans="1:22" s="305" customFormat="1" ht="11.25" customHeight="1">
      <c r="D114" s="352"/>
      <c r="E114" s="310" t="s">
        <v>4319</v>
      </c>
      <c r="H114" s="3535">
        <v>3342724044</v>
      </c>
      <c r="I114" s="3537"/>
      <c r="J114" s="3541"/>
      <c r="K114" s="1569" t="s">
        <v>1999</v>
      </c>
      <c r="L114" s="3527"/>
      <c r="M114" s="3528"/>
      <c r="N114" s="3528"/>
      <c r="O114" s="3528"/>
      <c r="P114" s="3528"/>
      <c r="Q114" s="3528"/>
      <c r="R114" s="3528"/>
      <c r="S114" s="3529"/>
    </row>
    <row r="115" spans="1:22" ht="3" customHeight="1"/>
    <row r="116" spans="1:22" s="305" customFormat="1" ht="12" customHeight="1">
      <c r="A116" s="307" t="s">
        <v>1804</v>
      </c>
      <c r="B116" s="307" t="s">
        <v>2619</v>
      </c>
      <c r="F116" s="307"/>
      <c r="G116" s="1569"/>
      <c r="H116" s="1569"/>
      <c r="I116" s="1569"/>
      <c r="J116" s="1569"/>
      <c r="K116" s="1569"/>
      <c r="L116" s="1569"/>
      <c r="M116" s="1569"/>
      <c r="N116" s="1569"/>
      <c r="O116" s="1569"/>
      <c r="P116" s="1569"/>
      <c r="Q116" s="1558"/>
    </row>
    <row r="117" spans="1:22" s="305" customFormat="1" ht="11.25" customHeight="1">
      <c r="B117" s="307" t="s">
        <v>1998</v>
      </c>
      <c r="C117" s="307" t="s">
        <v>3601</v>
      </c>
      <c r="H117" s="3515" t="s">
        <v>4686</v>
      </c>
      <c r="I117" s="3544"/>
      <c r="J117" s="3545"/>
      <c r="K117" s="1569" t="s">
        <v>2489</v>
      </c>
      <c r="L117" s="3532" t="s">
        <v>4557</v>
      </c>
      <c r="M117" s="3533"/>
      <c r="N117" s="3534"/>
      <c r="O117" s="310" t="s">
        <v>3602</v>
      </c>
      <c r="Q117" s="3532">
        <v>7068571414</v>
      </c>
      <c r="R117" s="3533"/>
      <c r="S117" s="3534"/>
    </row>
    <row r="118" spans="1:22" s="305" customFormat="1" ht="11.25" customHeight="1">
      <c r="D118" s="348"/>
      <c r="E118" s="310" t="s">
        <v>1030</v>
      </c>
      <c r="F118" s="318"/>
      <c r="H118" s="3532" t="s">
        <v>4568</v>
      </c>
      <c r="I118" s="3533"/>
      <c r="J118" s="3533"/>
      <c r="K118" s="3533"/>
      <c r="L118" s="3533"/>
      <c r="M118" s="3533"/>
      <c r="N118" s="3534"/>
      <c r="O118" s="310" t="s">
        <v>623</v>
      </c>
      <c r="Q118" s="3532" t="s">
        <v>1919</v>
      </c>
      <c r="R118" s="3533"/>
      <c r="S118" s="3534"/>
    </row>
    <row r="119" spans="1:22" s="305" customFormat="1" ht="11.25" customHeight="1">
      <c r="D119" s="348"/>
      <c r="E119" s="310" t="s">
        <v>1811</v>
      </c>
      <c r="H119" s="3538" t="s">
        <v>855</v>
      </c>
      <c r="I119" s="1559" t="s">
        <v>2244</v>
      </c>
      <c r="J119" s="3546">
        <v>307470447</v>
      </c>
      <c r="K119" s="3534"/>
      <c r="L119" s="1569" t="s">
        <v>1999</v>
      </c>
      <c r="M119" s="3527" t="s">
        <v>4560</v>
      </c>
      <c r="N119" s="3528"/>
      <c r="O119" s="3528"/>
      <c r="P119" s="3528"/>
      <c r="Q119" s="3528"/>
      <c r="R119" s="3528"/>
      <c r="S119" s="3529"/>
    </row>
    <row r="120" spans="1:22" ht="12" customHeight="1">
      <c r="B120" s="307" t="s">
        <v>2000</v>
      </c>
      <c r="C120" s="307" t="s">
        <v>2853</v>
      </c>
      <c r="H120" s="1612"/>
      <c r="I120" s="1612"/>
      <c r="J120" s="1612"/>
      <c r="K120" s="1612"/>
      <c r="L120" s="1612"/>
      <c r="M120" s="1612"/>
      <c r="N120" s="1612"/>
      <c r="O120" s="1612"/>
      <c r="P120" s="1612"/>
      <c r="Q120" s="1612"/>
      <c r="R120" s="1612"/>
      <c r="S120" s="1612"/>
    </row>
    <row r="121" spans="1:22" ht="11.25" customHeight="1">
      <c r="A121" s="1654" t="s">
        <v>3916</v>
      </c>
      <c r="B121" s="1654"/>
      <c r="C121" s="1654"/>
      <c r="D121" s="1654"/>
      <c r="E121" s="1655"/>
      <c r="F121" s="3547" t="s">
        <v>2526</v>
      </c>
      <c r="G121" s="3548" t="s">
        <v>3501</v>
      </c>
      <c r="H121" s="3549"/>
      <c r="I121" s="3549"/>
      <c r="J121" s="3549"/>
      <c r="K121" s="3549"/>
      <c r="L121" s="3549"/>
      <c r="M121" s="3549"/>
      <c r="N121" s="3549"/>
      <c r="O121" s="3549"/>
      <c r="P121" s="3549"/>
      <c r="Q121" s="3549"/>
      <c r="R121" s="3549"/>
      <c r="S121" s="3550"/>
    </row>
    <row r="122" spans="1:22" s="305" customFormat="1" ht="31.5" customHeight="1">
      <c r="B122" s="521"/>
      <c r="C122" s="1195" t="s">
        <v>2001</v>
      </c>
      <c r="D122" s="1656" t="s">
        <v>2854</v>
      </c>
      <c r="E122" s="1657"/>
      <c r="F122" s="3551" t="s">
        <v>3013</v>
      </c>
      <c r="G122" s="3048"/>
      <c r="H122" s="3049"/>
      <c r="I122" s="3049"/>
      <c r="J122" s="3049"/>
      <c r="K122" s="3049"/>
      <c r="L122" s="3049"/>
      <c r="M122" s="3049"/>
      <c r="N122" s="3049"/>
      <c r="O122" s="3049"/>
      <c r="P122" s="3049"/>
      <c r="Q122" s="3049"/>
      <c r="R122" s="3049"/>
      <c r="S122" s="3050"/>
      <c r="U122" s="1650" t="s">
        <v>2046</v>
      </c>
      <c r="V122" s="1650"/>
    </row>
    <row r="123" spans="1:22" s="305" customFormat="1" ht="31.5" customHeight="1">
      <c r="B123" s="521"/>
      <c r="C123" s="647" t="s">
        <v>2003</v>
      </c>
      <c r="D123" s="1639" t="s">
        <v>2920</v>
      </c>
      <c r="E123" s="1658"/>
      <c r="F123" s="3552" t="s">
        <v>3010</v>
      </c>
      <c r="G123" s="3051" t="s">
        <v>4687</v>
      </c>
      <c r="H123" s="3052"/>
      <c r="I123" s="3052"/>
      <c r="J123" s="3052"/>
      <c r="K123" s="3052"/>
      <c r="L123" s="3052"/>
      <c r="M123" s="3052"/>
      <c r="N123" s="3052"/>
      <c r="O123" s="3052"/>
      <c r="P123" s="3052"/>
      <c r="Q123" s="3052"/>
      <c r="R123" s="3052"/>
      <c r="S123" s="3053"/>
      <c r="U123" s="1650"/>
      <c r="V123" s="1650"/>
    </row>
    <row r="124" spans="1:22" s="305" customFormat="1" ht="31.5" customHeight="1">
      <c r="B124" s="521"/>
      <c r="C124" s="647" t="s">
        <v>2550</v>
      </c>
      <c r="D124" s="1639" t="s">
        <v>2896</v>
      </c>
      <c r="E124" s="1658"/>
      <c r="F124" s="3552" t="s">
        <v>3013</v>
      </c>
      <c r="G124" s="3051"/>
      <c r="H124" s="3052"/>
      <c r="I124" s="3052"/>
      <c r="J124" s="3052"/>
      <c r="K124" s="3052"/>
      <c r="L124" s="3052"/>
      <c r="M124" s="3052"/>
      <c r="N124" s="3052"/>
      <c r="O124" s="3052"/>
      <c r="P124" s="3052"/>
      <c r="Q124" s="3052"/>
      <c r="R124" s="3052"/>
      <c r="S124" s="3053"/>
      <c r="U124" s="1650"/>
      <c r="V124" s="1650"/>
    </row>
    <row r="125" spans="1:22" s="305" customFormat="1" ht="31.5" customHeight="1">
      <c r="B125" s="521"/>
      <c r="C125" s="647" t="s">
        <v>1235</v>
      </c>
      <c r="D125" s="1639" t="s">
        <v>2855</v>
      </c>
      <c r="E125" s="1658"/>
      <c r="F125" s="3552" t="s">
        <v>3013</v>
      </c>
      <c r="G125" s="3051"/>
      <c r="H125" s="3052"/>
      <c r="I125" s="3052"/>
      <c r="J125" s="3052"/>
      <c r="K125" s="3052"/>
      <c r="L125" s="3052"/>
      <c r="M125" s="3052"/>
      <c r="N125" s="3052"/>
      <c r="O125" s="3052"/>
      <c r="P125" s="3052"/>
      <c r="Q125" s="3052"/>
      <c r="R125" s="3052"/>
      <c r="S125" s="3053"/>
      <c r="U125" s="1650"/>
      <c r="V125" s="1650"/>
    </row>
    <row r="126" spans="1:22" s="305" customFormat="1" ht="31.5" customHeight="1">
      <c r="B126" s="521"/>
      <c r="C126" s="647" t="s">
        <v>1236</v>
      </c>
      <c r="D126" s="1639" t="s">
        <v>3488</v>
      </c>
      <c r="E126" s="1658"/>
      <c r="F126" s="3552" t="s">
        <v>3013</v>
      </c>
      <c r="G126" s="3051"/>
      <c r="H126" s="3052"/>
      <c r="I126" s="3052"/>
      <c r="J126" s="3052"/>
      <c r="K126" s="3052"/>
      <c r="L126" s="3052"/>
      <c r="M126" s="3052"/>
      <c r="N126" s="3052"/>
      <c r="O126" s="3052"/>
      <c r="P126" s="3052"/>
      <c r="Q126" s="3052"/>
      <c r="R126" s="3052"/>
      <c r="S126" s="3053"/>
      <c r="U126" s="1650"/>
      <c r="V126" s="1650"/>
    </row>
    <row r="127" spans="1:22" s="305" customFormat="1" ht="31.5" customHeight="1">
      <c r="B127" s="521"/>
      <c r="C127" s="647" t="s">
        <v>1895</v>
      </c>
      <c r="D127" s="1639" t="s">
        <v>3489</v>
      </c>
      <c r="E127" s="1658"/>
      <c r="F127" s="3552" t="s">
        <v>3013</v>
      </c>
      <c r="G127" s="3051"/>
      <c r="H127" s="3052"/>
      <c r="I127" s="3052"/>
      <c r="J127" s="3052"/>
      <c r="K127" s="3052"/>
      <c r="L127" s="3052"/>
      <c r="M127" s="3052"/>
      <c r="N127" s="3052"/>
      <c r="O127" s="3052"/>
      <c r="P127" s="3052"/>
      <c r="Q127" s="3052"/>
      <c r="R127" s="3052"/>
      <c r="S127" s="3053"/>
      <c r="U127" s="1650"/>
      <c r="V127" s="1650"/>
    </row>
    <row r="128" spans="1:22" s="305" customFormat="1" ht="31.5" customHeight="1">
      <c r="B128" s="521"/>
      <c r="C128" s="647" t="s">
        <v>507</v>
      </c>
      <c r="D128" s="1639" t="s">
        <v>2856</v>
      </c>
      <c r="E128" s="1658"/>
      <c r="F128" s="3552" t="s">
        <v>3013</v>
      </c>
      <c r="G128" s="3051"/>
      <c r="H128" s="3052"/>
      <c r="I128" s="3052"/>
      <c r="J128" s="3052"/>
      <c r="K128" s="3052"/>
      <c r="L128" s="3052"/>
      <c r="M128" s="3052"/>
      <c r="N128" s="3052"/>
      <c r="O128" s="3052"/>
      <c r="P128" s="3052"/>
      <c r="Q128" s="3052"/>
      <c r="R128" s="3052"/>
      <c r="S128" s="3053"/>
    </row>
    <row r="129" spans="1:22" s="305" customFormat="1" ht="31.5" customHeight="1">
      <c r="B129" s="521"/>
      <c r="C129" s="647" t="s">
        <v>508</v>
      </c>
      <c r="D129" s="3553" t="s">
        <v>3915</v>
      </c>
      <c r="E129" s="3554"/>
      <c r="F129" s="3555" t="s">
        <v>3010</v>
      </c>
      <c r="G129" s="3054" t="s">
        <v>4597</v>
      </c>
      <c r="H129" s="3055"/>
      <c r="I129" s="3055"/>
      <c r="J129" s="3055"/>
      <c r="K129" s="3055"/>
      <c r="L129" s="3055"/>
      <c r="M129" s="3055"/>
      <c r="N129" s="3055"/>
      <c r="O129" s="3055"/>
      <c r="P129" s="3055"/>
      <c r="Q129" s="3055"/>
      <c r="R129" s="3055"/>
      <c r="S129" s="3056"/>
    </row>
    <row r="130" spans="1:22" s="305" customFormat="1" ht="13.15" customHeight="1">
      <c r="A130" s="307" t="s">
        <v>1806</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756</v>
      </c>
      <c r="C132" s="307" t="s">
        <v>2857</v>
      </c>
    </row>
    <row r="133" spans="1:22" s="305" customFormat="1" ht="13.5" customHeight="1">
      <c r="A133" s="1665" t="s">
        <v>645</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2526</v>
      </c>
      <c r="J137" s="1677"/>
      <c r="K137" s="1680"/>
      <c r="L137" s="1679"/>
      <c r="M137" s="381" t="s">
        <v>2526</v>
      </c>
      <c r="N137" s="1636" t="s">
        <v>2926</v>
      </c>
      <c r="O137" s="1636"/>
      <c r="P137" s="1636"/>
      <c r="Q137" s="1636"/>
      <c r="R137" s="1636"/>
      <c r="S137" s="1693"/>
    </row>
    <row r="138" spans="1:22" s="305" customFormat="1" ht="24" customHeight="1">
      <c r="A138" s="1659" t="s">
        <v>3464</v>
      </c>
      <c r="B138" s="1660"/>
      <c r="C138" s="1660"/>
      <c r="D138" s="1661"/>
      <c r="E138" s="3048" t="s">
        <v>4638</v>
      </c>
      <c r="F138" s="3049"/>
      <c r="G138" s="3049"/>
      <c r="H138" s="3049"/>
      <c r="I138" s="3556" t="s">
        <v>3013</v>
      </c>
      <c r="J138" s="3551" t="s">
        <v>3013</v>
      </c>
      <c r="K138" s="3557" t="s">
        <v>4598</v>
      </c>
      <c r="L138" s="3558">
        <v>1E-4</v>
      </c>
      <c r="M138" s="3559" t="s">
        <v>3010</v>
      </c>
      <c r="N138" s="3560" t="s">
        <v>4688</v>
      </c>
      <c r="O138" s="3049"/>
      <c r="P138" s="3049"/>
      <c r="Q138" s="3049"/>
      <c r="R138" s="3049"/>
      <c r="S138" s="3050"/>
    </row>
    <row r="139" spans="1:22" s="305" customFormat="1" ht="24" customHeight="1">
      <c r="A139" s="1662" t="s">
        <v>3465</v>
      </c>
      <c r="B139" s="1663"/>
      <c r="C139" s="1663"/>
      <c r="D139" s="1664"/>
      <c r="E139" s="3051"/>
      <c r="F139" s="3052"/>
      <c r="G139" s="3052"/>
      <c r="H139" s="3052"/>
      <c r="I139" s="3561"/>
      <c r="J139" s="3552"/>
      <c r="K139" s="3562"/>
      <c r="L139" s="3563"/>
      <c r="M139" s="3564"/>
      <c r="N139" s="3565"/>
      <c r="O139" s="3052"/>
      <c r="P139" s="3052"/>
      <c r="Q139" s="3052"/>
      <c r="R139" s="3052"/>
      <c r="S139" s="3053"/>
      <c r="U139" s="1650" t="s">
        <v>2046</v>
      </c>
      <c r="V139" s="1650"/>
    </row>
    <row r="140" spans="1:22" s="305" customFormat="1" ht="24" customHeight="1">
      <c r="A140" s="1662" t="s">
        <v>3466</v>
      </c>
      <c r="B140" s="1663"/>
      <c r="C140" s="1663"/>
      <c r="D140" s="1664"/>
      <c r="E140" s="3051"/>
      <c r="F140" s="3052"/>
      <c r="G140" s="3052"/>
      <c r="H140" s="3052"/>
      <c r="I140" s="3561"/>
      <c r="J140" s="3552"/>
      <c r="K140" s="3562"/>
      <c r="L140" s="3563"/>
      <c r="M140" s="3564"/>
      <c r="N140" s="3565"/>
      <c r="O140" s="3052"/>
      <c r="P140" s="3052"/>
      <c r="Q140" s="3052"/>
      <c r="R140" s="3052"/>
      <c r="S140" s="3053"/>
      <c r="U140" s="1650"/>
      <c r="V140" s="1650"/>
    </row>
    <row r="141" spans="1:22" s="305" customFormat="1" ht="24" customHeight="1">
      <c r="A141" s="1662" t="s">
        <v>3467</v>
      </c>
      <c r="B141" s="1663"/>
      <c r="C141" s="1663"/>
      <c r="D141" s="1664"/>
      <c r="E141" s="3051" t="s">
        <v>4569</v>
      </c>
      <c r="F141" s="3052"/>
      <c r="G141" s="3052"/>
      <c r="H141" s="3052"/>
      <c r="I141" s="3561" t="s">
        <v>3013</v>
      </c>
      <c r="J141" s="3552" t="s">
        <v>3013</v>
      </c>
      <c r="K141" s="3562" t="s">
        <v>4598</v>
      </c>
      <c r="L141" s="3563">
        <v>0.99990000000000001</v>
      </c>
      <c r="M141" s="3564" t="s">
        <v>3013</v>
      </c>
      <c r="N141" s="3565"/>
      <c r="O141" s="3052"/>
      <c r="P141" s="3052"/>
      <c r="Q141" s="3052"/>
      <c r="R141" s="3052"/>
      <c r="S141" s="3053"/>
      <c r="U141" s="1650"/>
      <c r="V141" s="1650"/>
    </row>
    <row r="142" spans="1:22" s="305" customFormat="1" ht="24" customHeight="1">
      <c r="A142" s="1662" t="s">
        <v>3468</v>
      </c>
      <c r="B142" s="1663"/>
      <c r="C142" s="1663"/>
      <c r="D142" s="1664"/>
      <c r="E142" s="3051" t="s">
        <v>4569</v>
      </c>
      <c r="F142" s="3052"/>
      <c r="G142" s="3052"/>
      <c r="H142" s="3052"/>
      <c r="I142" s="3561" t="s">
        <v>3013</v>
      </c>
      <c r="J142" s="3552" t="s">
        <v>3013</v>
      </c>
      <c r="K142" s="3562" t="s">
        <v>4598</v>
      </c>
      <c r="L142" s="3563"/>
      <c r="M142" s="3564" t="s">
        <v>3013</v>
      </c>
      <c r="N142" s="3565"/>
      <c r="O142" s="3052"/>
      <c r="P142" s="3052"/>
      <c r="Q142" s="3052"/>
      <c r="R142" s="3052"/>
      <c r="S142" s="3053"/>
      <c r="U142" s="1650"/>
      <c r="V142" s="1650"/>
    </row>
    <row r="143" spans="1:22" s="305" customFormat="1" ht="24" customHeight="1">
      <c r="A143" s="1662" t="s">
        <v>2913</v>
      </c>
      <c r="B143" s="1663"/>
      <c r="C143" s="1663"/>
      <c r="D143" s="1664"/>
      <c r="E143" s="3051"/>
      <c r="F143" s="3052"/>
      <c r="G143" s="3052"/>
      <c r="H143" s="3052"/>
      <c r="I143" s="3561"/>
      <c r="J143" s="3552"/>
      <c r="K143" s="3562"/>
      <c r="L143" s="3563"/>
      <c r="M143" s="3564"/>
      <c r="N143" s="3565"/>
      <c r="O143" s="3052"/>
      <c r="P143" s="3052"/>
      <c r="Q143" s="3052"/>
      <c r="R143" s="3052"/>
      <c r="S143" s="3053"/>
      <c r="U143" s="1650"/>
      <c r="V143" s="1650"/>
    </row>
    <row r="144" spans="1:22" s="305" customFormat="1" ht="24" customHeight="1">
      <c r="A144" s="1662" t="s">
        <v>658</v>
      </c>
      <c r="B144" s="1663"/>
      <c r="C144" s="1663"/>
      <c r="D144" s="1664"/>
      <c r="E144" s="3051" t="s">
        <v>4599</v>
      </c>
      <c r="F144" s="3052"/>
      <c r="G144" s="3052"/>
      <c r="H144" s="3052"/>
      <c r="I144" s="3561" t="s">
        <v>3013</v>
      </c>
      <c r="J144" s="3552" t="s">
        <v>3013</v>
      </c>
      <c r="K144" s="3562" t="s">
        <v>4598</v>
      </c>
      <c r="L144" s="3563"/>
      <c r="M144" s="3564" t="s">
        <v>3010</v>
      </c>
      <c r="N144" s="3565" t="s">
        <v>4600</v>
      </c>
      <c r="O144" s="3052"/>
      <c r="P144" s="3052"/>
      <c r="Q144" s="3052"/>
      <c r="R144" s="3052"/>
      <c r="S144" s="3053"/>
      <c r="U144" s="1650"/>
      <c r="V144" s="1650"/>
    </row>
    <row r="145" spans="1:24" s="305" customFormat="1" ht="24" customHeight="1">
      <c r="A145" s="1662" t="s">
        <v>2914</v>
      </c>
      <c r="B145" s="1663"/>
      <c r="C145" s="1663"/>
      <c r="D145" s="1664"/>
      <c r="E145" s="3051"/>
      <c r="F145" s="3052"/>
      <c r="G145" s="3052"/>
      <c r="H145" s="3052"/>
      <c r="I145" s="3561"/>
      <c r="J145" s="3552"/>
      <c r="K145" s="3562"/>
      <c r="L145" s="3563"/>
      <c r="M145" s="3564"/>
      <c r="N145" s="3565"/>
      <c r="O145" s="3052"/>
      <c r="P145" s="3052"/>
      <c r="Q145" s="3052"/>
      <c r="R145" s="3052"/>
      <c r="S145" s="3053"/>
    </row>
    <row r="146" spans="1:24" s="305" customFormat="1" ht="24" customHeight="1">
      <c r="A146" s="1662" t="s">
        <v>2915</v>
      </c>
      <c r="B146" s="1663"/>
      <c r="C146" s="1663"/>
      <c r="D146" s="1664"/>
      <c r="E146" s="3051"/>
      <c r="F146" s="3052"/>
      <c r="G146" s="3052"/>
      <c r="H146" s="3052"/>
      <c r="I146" s="3561"/>
      <c r="J146" s="3552"/>
      <c r="K146" s="3562"/>
      <c r="L146" s="3563"/>
      <c r="M146" s="3564"/>
      <c r="N146" s="3565"/>
      <c r="O146" s="3052"/>
      <c r="P146" s="3052"/>
      <c r="Q146" s="3052"/>
      <c r="R146" s="3052"/>
      <c r="S146" s="3053"/>
    </row>
    <row r="147" spans="1:24" s="305" customFormat="1" ht="24" customHeight="1">
      <c r="A147" s="1662" t="s">
        <v>2917</v>
      </c>
      <c r="B147" s="1663"/>
      <c r="C147" s="1663"/>
      <c r="D147" s="1664"/>
      <c r="E147" s="3051"/>
      <c r="F147" s="3052"/>
      <c r="G147" s="3052"/>
      <c r="H147" s="3052"/>
      <c r="I147" s="3561"/>
      <c r="J147" s="3552"/>
      <c r="K147" s="3562"/>
      <c r="L147" s="3563"/>
      <c r="M147" s="3564"/>
      <c r="N147" s="3565"/>
      <c r="O147" s="3052"/>
      <c r="P147" s="3052"/>
      <c r="Q147" s="3052"/>
      <c r="R147" s="3052"/>
      <c r="S147" s="3053"/>
    </row>
    <row r="148" spans="1:24" s="305" customFormat="1" ht="24" customHeight="1">
      <c r="A148" s="1662" t="s">
        <v>2916</v>
      </c>
      <c r="B148" s="1663"/>
      <c r="C148" s="1663"/>
      <c r="D148" s="1664"/>
      <c r="E148" s="3051"/>
      <c r="F148" s="3052"/>
      <c r="G148" s="3052"/>
      <c r="H148" s="3052"/>
      <c r="I148" s="3561"/>
      <c r="J148" s="3552"/>
      <c r="K148" s="3562"/>
      <c r="L148" s="3563"/>
      <c r="M148" s="3564"/>
      <c r="N148" s="3565"/>
      <c r="O148" s="3052"/>
      <c r="P148" s="3052"/>
      <c r="Q148" s="3052"/>
      <c r="R148" s="3052"/>
      <c r="S148" s="3053"/>
    </row>
    <row r="149" spans="1:24" s="305" customFormat="1" ht="24" customHeight="1">
      <c r="A149" s="1662" t="s">
        <v>1540</v>
      </c>
      <c r="B149" s="1663"/>
      <c r="C149" s="1663"/>
      <c r="D149" s="1664"/>
      <c r="E149" s="3051" t="s">
        <v>4601</v>
      </c>
      <c r="F149" s="3052"/>
      <c r="G149" s="3052"/>
      <c r="H149" s="3052"/>
      <c r="I149" s="3561" t="s">
        <v>3013</v>
      </c>
      <c r="J149" s="3552" t="s">
        <v>3013</v>
      </c>
      <c r="K149" s="3562" t="s">
        <v>4598</v>
      </c>
      <c r="L149" s="3563"/>
      <c r="M149" s="3564" t="s">
        <v>3013</v>
      </c>
      <c r="N149" s="3565"/>
      <c r="O149" s="3052"/>
      <c r="P149" s="3052"/>
      <c r="Q149" s="3052"/>
      <c r="R149" s="3052"/>
      <c r="S149" s="3053"/>
    </row>
    <row r="150" spans="1:24" s="305" customFormat="1" ht="24" customHeight="1">
      <c r="A150" s="1694" t="s">
        <v>2918</v>
      </c>
      <c r="B150" s="1695"/>
      <c r="C150" s="1695"/>
      <c r="D150" s="1696"/>
      <c r="E150" s="3054" t="s">
        <v>4581</v>
      </c>
      <c r="F150" s="3055"/>
      <c r="G150" s="3055"/>
      <c r="H150" s="3055"/>
      <c r="I150" s="3566" t="s">
        <v>3013</v>
      </c>
      <c r="J150" s="3555" t="s">
        <v>3013</v>
      </c>
      <c r="K150" s="3567" t="s">
        <v>4598</v>
      </c>
      <c r="L150" s="3568"/>
      <c r="M150" s="3569" t="s">
        <v>3013</v>
      </c>
      <c r="N150" s="3570"/>
      <c r="O150" s="3055"/>
      <c r="P150" s="3055"/>
      <c r="Q150" s="3055"/>
      <c r="R150" s="3055"/>
      <c r="S150" s="3056"/>
    </row>
    <row r="151" spans="1:24" s="1566" customFormat="1" ht="12" customHeight="1">
      <c r="G151" s="316"/>
      <c r="H151" s="316"/>
      <c r="I151" s="316"/>
      <c r="J151" s="1569"/>
      <c r="K151" s="331" t="s">
        <v>543</v>
      </c>
      <c r="L151" s="577">
        <f>SUM(L138:S150)</f>
        <v>1</v>
      </c>
      <c r="M151" s="1569"/>
      <c r="P151" s="314"/>
    </row>
    <row r="152" spans="1:24" ht="11.25" customHeight="1">
      <c r="A152" s="333" t="s">
        <v>534</v>
      </c>
      <c r="B152" s="347"/>
      <c r="C152" s="333" t="s">
        <v>576</v>
      </c>
      <c r="N152" s="333" t="s">
        <v>534</v>
      </c>
      <c r="O152" s="333" t="s">
        <v>80</v>
      </c>
    </row>
    <row r="153" spans="1:24" ht="60" customHeight="1">
      <c r="A153" s="3233" t="s">
        <v>4716</v>
      </c>
      <c r="B153" s="3571"/>
      <c r="C153" s="3571"/>
      <c r="D153" s="3571"/>
      <c r="E153" s="3571"/>
      <c r="F153" s="3571"/>
      <c r="G153" s="3571"/>
      <c r="H153" s="3571"/>
      <c r="I153" s="3571"/>
      <c r="J153" s="3571"/>
      <c r="K153" s="3571"/>
      <c r="L153" s="3571"/>
      <c r="M153" s="3572"/>
      <c r="N153" s="3573"/>
      <c r="O153" s="3574"/>
      <c r="P153" s="3574"/>
      <c r="Q153" s="3574"/>
      <c r="R153" s="3574"/>
      <c r="S153" s="3575"/>
      <c r="T153" s="1619" t="s">
        <v>2709</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1811</v>
      </c>
    </row>
    <row r="159" spans="1:24" s="305" customFormat="1" ht="12" customHeight="1">
      <c r="A159" s="348"/>
      <c r="B159" s="324"/>
      <c r="C159" s="324"/>
      <c r="D159" s="324"/>
      <c r="E159" s="324"/>
      <c r="F159" s="324"/>
      <c r="G159" s="324"/>
      <c r="H159" s="324"/>
      <c r="I159" s="324"/>
      <c r="J159" s="324"/>
      <c r="K159" s="324"/>
      <c r="L159" s="324"/>
      <c r="M159" s="324"/>
      <c r="N159" s="324"/>
      <c r="O159" s="324"/>
      <c r="P159" s="3577" t="s">
        <v>845</v>
      </c>
    </row>
    <row r="160" spans="1:24" s="305" customFormat="1" ht="12" customHeight="1">
      <c r="A160" s="348"/>
      <c r="B160" s="324"/>
      <c r="C160" s="324"/>
      <c r="D160" s="324"/>
      <c r="E160" s="324"/>
      <c r="F160" s="324"/>
      <c r="G160" s="324"/>
      <c r="H160" s="324"/>
      <c r="I160" s="324"/>
      <c r="J160" s="324"/>
      <c r="K160" s="324"/>
      <c r="L160" s="324"/>
      <c r="M160" s="324"/>
      <c r="N160" s="324"/>
      <c r="O160" s="324"/>
      <c r="P160" s="3577" t="s">
        <v>846</v>
      </c>
    </row>
    <row r="161" spans="1:16" s="305" customFormat="1" ht="12" customHeight="1">
      <c r="A161" s="348"/>
      <c r="B161" s="324"/>
      <c r="C161" s="324"/>
      <c r="D161" s="324"/>
      <c r="E161" s="324"/>
      <c r="F161" s="324"/>
      <c r="G161" s="324"/>
      <c r="H161" s="324"/>
      <c r="I161" s="324"/>
      <c r="J161" s="324"/>
      <c r="K161" s="324"/>
      <c r="L161" s="324"/>
      <c r="M161" s="324"/>
      <c r="N161" s="324"/>
      <c r="O161" s="324"/>
      <c r="P161" s="3577" t="s">
        <v>847</v>
      </c>
    </row>
    <row r="162" spans="1:16" s="305" customFormat="1" ht="12" customHeight="1">
      <c r="A162" s="501"/>
      <c r="B162" s="324"/>
      <c r="C162" s="324"/>
      <c r="D162" s="324"/>
      <c r="E162" s="324"/>
      <c r="F162" s="324"/>
      <c r="G162" s="324"/>
      <c r="H162" s="324"/>
      <c r="I162" s="324"/>
      <c r="J162" s="324"/>
      <c r="K162" s="324"/>
      <c r="L162" s="324"/>
      <c r="M162" s="324"/>
      <c r="N162" s="324"/>
      <c r="O162" s="324"/>
      <c r="P162" s="3577" t="s">
        <v>848</v>
      </c>
    </row>
    <row r="163" spans="1:16" s="305" customFormat="1" ht="12" customHeight="1">
      <c r="B163" s="324"/>
      <c r="C163" s="324"/>
      <c r="D163" s="324"/>
      <c r="E163" s="324"/>
      <c r="F163" s="324"/>
      <c r="G163" s="324"/>
      <c r="H163" s="324"/>
      <c r="I163" s="324"/>
      <c r="J163" s="324"/>
      <c r="K163" s="324"/>
      <c r="L163" s="324"/>
      <c r="M163" s="324"/>
      <c r="N163" s="324"/>
      <c r="O163" s="324"/>
      <c r="P163" s="3577" t="s">
        <v>849</v>
      </c>
    </row>
    <row r="164" spans="1:16" s="305" customFormat="1" ht="12" customHeight="1">
      <c r="B164" s="324"/>
      <c r="C164" s="324"/>
      <c r="D164" s="324"/>
      <c r="E164" s="324"/>
      <c r="F164" s="324"/>
      <c r="G164" s="324"/>
      <c r="H164" s="324"/>
      <c r="I164" s="324"/>
      <c r="J164" s="324"/>
      <c r="K164" s="324"/>
      <c r="L164" s="324"/>
      <c r="M164" s="324"/>
      <c r="N164" s="324"/>
      <c r="O164" s="324"/>
      <c r="P164" s="3577" t="s">
        <v>850</v>
      </c>
    </row>
    <row r="165" spans="1:16" s="305" customFormat="1" ht="12" customHeight="1">
      <c r="B165" s="324"/>
      <c r="C165" s="324"/>
      <c r="D165" s="324"/>
      <c r="E165" s="324"/>
      <c r="F165" s="324"/>
      <c r="G165" s="324"/>
      <c r="H165" s="324"/>
      <c r="I165" s="324"/>
      <c r="J165" s="324"/>
      <c r="K165" s="324"/>
      <c r="L165" s="324"/>
      <c r="M165" s="324"/>
      <c r="N165" s="324"/>
      <c r="O165" s="324"/>
      <c r="P165" s="3577" t="s">
        <v>851</v>
      </c>
    </row>
    <row r="166" spans="1:16" s="305" customFormat="1" ht="12" customHeight="1">
      <c r="B166" s="324"/>
      <c r="C166" s="324"/>
      <c r="D166" s="324"/>
      <c r="E166" s="324"/>
      <c r="F166" s="324"/>
      <c r="G166" s="324"/>
      <c r="H166" s="324"/>
      <c r="I166" s="324"/>
      <c r="J166" s="324"/>
      <c r="K166" s="324"/>
      <c r="L166" s="324"/>
      <c r="M166" s="324"/>
      <c r="N166" s="324"/>
      <c r="O166" s="324"/>
      <c r="P166" s="3577" t="s">
        <v>852</v>
      </c>
    </row>
    <row r="167" spans="1:16" ht="12" customHeight="1">
      <c r="P167" s="3577" t="s">
        <v>853</v>
      </c>
    </row>
    <row r="168" spans="1:16" ht="12" customHeight="1">
      <c r="A168" s="333"/>
      <c r="P168" s="3577" t="s">
        <v>854</v>
      </c>
    </row>
    <row r="169" spans="1:16" ht="12" customHeight="1">
      <c r="P169" s="3577" t="s">
        <v>855</v>
      </c>
    </row>
    <row r="170" spans="1:16" ht="12" customHeight="1">
      <c r="P170" s="3577" t="s">
        <v>856</v>
      </c>
    </row>
    <row r="171" spans="1:16" ht="12" customHeight="1">
      <c r="P171" s="3577" t="s">
        <v>857</v>
      </c>
    </row>
    <row r="172" spans="1:16" ht="12" customHeight="1">
      <c r="P172" s="3577" t="s">
        <v>858</v>
      </c>
    </row>
    <row r="173" spans="1:16" ht="12" customHeight="1">
      <c r="P173" s="3577" t="s">
        <v>859</v>
      </c>
    </row>
    <row r="174" spans="1:16" ht="12" customHeight="1">
      <c r="P174" s="3577" t="s">
        <v>860</v>
      </c>
    </row>
    <row r="175" spans="1:16" ht="12" customHeight="1">
      <c r="P175" s="3577" t="s">
        <v>861</v>
      </c>
    </row>
    <row r="176" spans="1:16" ht="12" customHeight="1">
      <c r="P176" s="3577" t="s">
        <v>862</v>
      </c>
    </row>
    <row r="177" spans="16:16" ht="12" customHeight="1">
      <c r="P177" s="3577" t="s">
        <v>863</v>
      </c>
    </row>
    <row r="178" spans="16:16" ht="12" customHeight="1">
      <c r="P178" s="3577" t="s">
        <v>864</v>
      </c>
    </row>
    <row r="179" spans="16:16" ht="12" customHeight="1">
      <c r="P179" s="3577" t="s">
        <v>865</v>
      </c>
    </row>
    <row r="180" spans="16:16" ht="12" customHeight="1">
      <c r="P180" s="3577" t="s">
        <v>866</v>
      </c>
    </row>
    <row r="181" spans="16:16" ht="12" customHeight="1">
      <c r="P181" s="3577" t="s">
        <v>867</v>
      </c>
    </row>
    <row r="182" spans="16:16" ht="12" customHeight="1">
      <c r="P182" s="3577" t="s">
        <v>868</v>
      </c>
    </row>
    <row r="183" spans="16:16" ht="12" customHeight="1">
      <c r="P183" s="3577" t="s">
        <v>869</v>
      </c>
    </row>
    <row r="184" spans="16:16" ht="12" customHeight="1">
      <c r="P184" s="3577" t="s">
        <v>1352</v>
      </c>
    </row>
    <row r="185" spans="16:16" ht="12" customHeight="1">
      <c r="P185" s="3577" t="s">
        <v>1353</v>
      </c>
    </row>
    <row r="186" spans="16:16" ht="12" customHeight="1">
      <c r="P186" s="3577" t="s">
        <v>1354</v>
      </c>
    </row>
    <row r="187" spans="16:16" ht="12" customHeight="1">
      <c r="P187" s="3577" t="s">
        <v>1355</v>
      </c>
    </row>
    <row r="188" spans="16:16" ht="12" customHeight="1">
      <c r="P188" s="3577" t="s">
        <v>1356</v>
      </c>
    </row>
    <row r="189" spans="16:16" ht="13.5">
      <c r="P189" s="3577" t="s">
        <v>1357</v>
      </c>
    </row>
    <row r="190" spans="16:16" ht="12" customHeight="1">
      <c r="P190" s="3577" t="s">
        <v>1358</v>
      </c>
    </row>
    <row r="191" spans="16:16" ht="12" customHeight="1">
      <c r="P191" s="3577" t="s">
        <v>1359</v>
      </c>
    </row>
    <row r="192" spans="16:16" ht="12" customHeight="1">
      <c r="P192" s="3577" t="s">
        <v>1360</v>
      </c>
    </row>
    <row r="193" spans="16:16" ht="12" customHeight="1">
      <c r="P193" s="3577" t="s">
        <v>1361</v>
      </c>
    </row>
    <row r="194" spans="16:16" ht="12" customHeight="1">
      <c r="P194" s="3577" t="s">
        <v>1362</v>
      </c>
    </row>
    <row r="195" spans="16:16" ht="12" customHeight="1">
      <c r="P195" s="3577" t="s">
        <v>1363</v>
      </c>
    </row>
    <row r="196" spans="16:16" ht="12" customHeight="1">
      <c r="P196" s="3577" t="s">
        <v>1364</v>
      </c>
    </row>
    <row r="197" spans="16:16" ht="12" customHeight="1">
      <c r="P197" s="3577" t="s">
        <v>1365</v>
      </c>
    </row>
    <row r="198" spans="16:16" ht="12" customHeight="1">
      <c r="P198" s="3577" t="s">
        <v>1366</v>
      </c>
    </row>
    <row r="199" spans="16:16" ht="12" customHeight="1">
      <c r="P199" s="3577" t="s">
        <v>1367</v>
      </c>
    </row>
    <row r="200" spans="16:16" ht="12" customHeight="1">
      <c r="P200" s="3577" t="s">
        <v>1368</v>
      </c>
    </row>
    <row r="201" spans="16:16" ht="12" customHeight="1">
      <c r="P201" s="3577" t="s">
        <v>1369</v>
      </c>
    </row>
    <row r="202" spans="16:16" ht="12" customHeight="1">
      <c r="P202" s="3577" t="s">
        <v>1370</v>
      </c>
    </row>
    <row r="203" spans="16:16" ht="12" customHeight="1">
      <c r="P203" s="3577" t="s">
        <v>1371</v>
      </c>
    </row>
    <row r="204" spans="16:16" ht="12" customHeight="1">
      <c r="P204" s="3577" t="s">
        <v>1372</v>
      </c>
    </row>
    <row r="205" spans="16:16" ht="12" customHeight="1">
      <c r="P205" s="3577" t="s">
        <v>1373</v>
      </c>
    </row>
    <row r="206" spans="16:16" ht="12" customHeight="1">
      <c r="P206" s="3577" t="s">
        <v>1374</v>
      </c>
    </row>
    <row r="207" spans="16:16" ht="12" customHeight="1">
      <c r="P207" s="3577" t="s">
        <v>1375</v>
      </c>
    </row>
    <row r="208" spans="16:16" ht="12" customHeight="1">
      <c r="P208" s="3577" t="s">
        <v>1376</v>
      </c>
    </row>
    <row r="209" spans="16:16" ht="12" customHeight="1">
      <c r="P209" s="3577" t="s">
        <v>1377</v>
      </c>
    </row>
  </sheetData>
  <sheetProtection algorithmName="SHA-512" hashValue="/e1ZlWl7pjJJobu+5c6Zy6xzFX1jPv8tqcjDRDmg0qfEyxXu37lW/rrnIsW90/Wy/BM7fZFJxVv5/LdoPVKrKg==" saltValue="JNUyrIkO0Ky/Iqkrw4nnzw=="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2" zoomScaleNormal="100" workbookViewId="0">
      <selection activeCell="A5"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2018-032 Hillcrest Apartments, Dublin, Laurens County</v>
      </c>
      <c r="B1" s="1652"/>
      <c r="C1" s="1652"/>
      <c r="D1" s="1652"/>
      <c r="E1" s="1652"/>
      <c r="F1" s="1652"/>
      <c r="G1" s="1652"/>
      <c r="H1" s="1652"/>
      <c r="I1" s="1652"/>
      <c r="J1" s="1652"/>
      <c r="K1" s="1652"/>
      <c r="L1" s="1652"/>
      <c r="M1" s="1652"/>
      <c r="N1" s="1652"/>
      <c r="O1" s="1652"/>
      <c r="P1" s="1652"/>
      <c r="Q1" s="1653"/>
      <c r="S1" s="1698" t="str">
        <f>$A$1</f>
        <v>PART THREE - SOURCES OF FUNDS  -  2018-032 Hillcrest Apartments, Dublin, Laurens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621</v>
      </c>
      <c r="B3" s="327" t="s">
        <v>2506</v>
      </c>
      <c r="C3" s="305"/>
      <c r="D3" s="1566"/>
      <c r="E3" s="1566"/>
      <c r="F3" s="1566"/>
      <c r="G3" s="1566"/>
      <c r="J3" s="1566"/>
      <c r="P3" s="1555" t="s">
        <v>4554</v>
      </c>
      <c r="S3" s="355" t="str">
        <f>B3</f>
        <v>GOVERNMENT FUNDING SOURCES  (check all that apply)</v>
      </c>
    </row>
    <row r="4" spans="1:20" s="278" customFormat="1" ht="15.75" customHeight="1">
      <c r="A4" s="333"/>
      <c r="B4" s="501"/>
      <c r="C4" s="327"/>
      <c r="D4" s="1566"/>
      <c r="E4" s="1566"/>
      <c r="F4" s="1566"/>
      <c r="G4" s="1566"/>
      <c r="S4" s="1699" t="s">
        <v>2699</v>
      </c>
      <c r="T4" s="1699"/>
    </row>
    <row r="5" spans="1:20" s="278" customFormat="1" ht="16.5" customHeight="1">
      <c r="A5" s="501"/>
      <c r="B5" s="3425" t="s">
        <v>3010</v>
      </c>
      <c r="C5" s="1557" t="s">
        <v>2425</v>
      </c>
      <c r="D5" s="305"/>
      <c r="H5" s="3425" t="s">
        <v>3013</v>
      </c>
      <c r="I5" s="1557" t="s">
        <v>1548</v>
      </c>
      <c r="L5" s="3425" t="s">
        <v>3013</v>
      </c>
      <c r="M5" s="305" t="s">
        <v>3923</v>
      </c>
      <c r="S5" s="3426"/>
      <c r="T5" s="3427"/>
    </row>
    <row r="6" spans="1:20" s="278" customFormat="1" ht="16.5" customHeight="1">
      <c r="A6" s="501"/>
      <c r="B6" s="3428" t="s">
        <v>3013</v>
      </c>
      <c r="C6" s="1557" t="s">
        <v>554</v>
      </c>
      <c r="D6" s="305"/>
      <c r="H6" s="3428" t="s">
        <v>3013</v>
      </c>
      <c r="I6" s="1557" t="s">
        <v>553</v>
      </c>
      <c r="L6" s="3428" t="s">
        <v>3013</v>
      </c>
      <c r="M6" s="1557" t="s">
        <v>2617</v>
      </c>
      <c r="S6" s="3429"/>
      <c r="T6" s="3430"/>
    </row>
    <row r="7" spans="1:20" s="278" customFormat="1" ht="16.5" customHeight="1">
      <c r="A7" s="305"/>
      <c r="B7" s="3428" t="s">
        <v>3013</v>
      </c>
      <c r="C7" s="1557" t="s">
        <v>3920</v>
      </c>
      <c r="F7" s="3431"/>
      <c r="G7" s="3432"/>
      <c r="H7" s="3428" t="s">
        <v>3013</v>
      </c>
      <c r="I7" s="1557" t="s">
        <v>3707</v>
      </c>
      <c r="L7" s="3428" t="s">
        <v>3013</v>
      </c>
      <c r="M7" s="1557" t="s">
        <v>2618</v>
      </c>
      <c r="S7" s="3429"/>
      <c r="T7" s="3430"/>
    </row>
    <row r="8" spans="1:20" s="278" customFormat="1" ht="16.5" customHeight="1">
      <c r="A8" s="501"/>
      <c r="B8" s="3428" t="s">
        <v>3013</v>
      </c>
      <c r="C8" s="1557" t="s">
        <v>1815</v>
      </c>
      <c r="D8" s="305"/>
      <c r="H8" s="3428" t="s">
        <v>3013</v>
      </c>
      <c r="I8" s="305" t="s">
        <v>2626</v>
      </c>
      <c r="L8" s="3428" t="s">
        <v>3013</v>
      </c>
      <c r="M8" s="310" t="s">
        <v>3712</v>
      </c>
      <c r="S8" s="3433"/>
      <c r="T8" s="3434"/>
    </row>
    <row r="9" spans="1:20" s="278" customFormat="1" ht="16.5" customHeight="1">
      <c r="A9" s="501"/>
      <c r="B9" s="3428" t="s">
        <v>3013</v>
      </c>
      <c r="C9" s="1557" t="s">
        <v>555</v>
      </c>
      <c r="H9" s="3428" t="s">
        <v>3013</v>
      </c>
      <c r="I9" s="305" t="s">
        <v>2624</v>
      </c>
      <c r="L9" s="3428" t="s">
        <v>3013</v>
      </c>
      <c r="M9" s="310" t="s">
        <v>2625</v>
      </c>
      <c r="S9" s="3426"/>
      <c r="T9" s="3427"/>
    </row>
    <row r="10" spans="1:20" s="278" customFormat="1" ht="16.5" customHeight="1">
      <c r="A10" s="501"/>
      <c r="B10" s="3428" t="s">
        <v>3013</v>
      </c>
      <c r="C10" s="310" t="s">
        <v>3921</v>
      </c>
      <c r="G10" s="649"/>
      <c r="H10" s="3428" t="s">
        <v>3013</v>
      </c>
      <c r="I10" s="305" t="s">
        <v>3748</v>
      </c>
      <c r="J10" s="1035"/>
      <c r="K10" s="1035"/>
      <c r="L10" s="3428" t="s">
        <v>3013</v>
      </c>
      <c r="M10" s="310" t="s">
        <v>3750</v>
      </c>
      <c r="O10" s="3435" t="s">
        <v>3905</v>
      </c>
      <c r="P10" s="3436"/>
      <c r="Q10" s="3437"/>
      <c r="S10" s="3429"/>
      <c r="T10" s="3430"/>
    </row>
    <row r="11" spans="1:20" s="278" customFormat="1" ht="16.5" customHeight="1">
      <c r="A11" s="501"/>
      <c r="B11" s="3428" t="s">
        <v>3013</v>
      </c>
      <c r="C11" s="1557" t="s">
        <v>3751</v>
      </c>
      <c r="D11" s="305"/>
      <c r="E11" s="3438"/>
      <c r="F11" s="3439"/>
      <c r="H11" s="3428" t="s">
        <v>3013</v>
      </c>
      <c r="I11" s="305" t="s">
        <v>3753</v>
      </c>
      <c r="L11" s="3440" t="s">
        <v>3013</v>
      </c>
      <c r="M11" s="305" t="s">
        <v>3646</v>
      </c>
      <c r="S11" s="3429"/>
      <c r="T11" s="3430"/>
    </row>
    <row r="12" spans="1:20" s="278" customFormat="1" ht="16.5" customHeight="1">
      <c r="A12" s="501"/>
      <c r="B12" s="3440" t="s">
        <v>3013</v>
      </c>
      <c r="C12" s="1557" t="s">
        <v>3752</v>
      </c>
      <c r="E12" s="3441"/>
      <c r="F12" s="3442"/>
      <c r="H12" s="3428" t="s">
        <v>3013</v>
      </c>
      <c r="I12" s="521" t="s">
        <v>2813</v>
      </c>
      <c r="J12" s="521"/>
      <c r="K12" s="521"/>
      <c r="L12" s="3443" t="s">
        <v>3013</v>
      </c>
      <c r="M12" s="3444" t="s">
        <v>3714</v>
      </c>
      <c r="N12" s="3445"/>
      <c r="O12" s="3445"/>
      <c r="P12" s="3445"/>
      <c r="Q12" s="3446"/>
      <c r="S12" s="3433"/>
      <c r="T12" s="3434"/>
    </row>
    <row r="13" spans="1:20" s="278" customFormat="1" ht="16.5" customHeight="1">
      <c r="A13" s="501"/>
      <c r="C13" s="278" t="s">
        <v>3749</v>
      </c>
      <c r="E13" s="3435" t="s">
        <v>3471</v>
      </c>
      <c r="F13" s="3436"/>
      <c r="G13" s="3437"/>
      <c r="H13" s="3440" t="s">
        <v>3013</v>
      </c>
      <c r="I13" s="310" t="s">
        <v>3922</v>
      </c>
      <c r="J13" s="521"/>
      <c r="K13" s="521"/>
      <c r="M13" s="3447" t="s">
        <v>3725</v>
      </c>
      <c r="N13" s="3448"/>
      <c r="O13" s="3448"/>
      <c r="P13" s="3448"/>
      <c r="Q13" s="3449"/>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747</v>
      </c>
      <c r="B16" s="277" t="s">
        <v>2360</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1884</v>
      </c>
      <c r="C18" s="305"/>
      <c r="D18" s="305"/>
      <c r="E18" s="305"/>
      <c r="F18" s="305"/>
      <c r="G18" s="305"/>
      <c r="H18" s="1697" t="s">
        <v>1308</v>
      </c>
      <c r="I18" s="1697"/>
      <c r="J18" s="1697"/>
      <c r="K18" s="1697"/>
      <c r="L18" s="1637" t="s">
        <v>2005</v>
      </c>
      <c r="M18" s="1637"/>
      <c r="N18" s="1637" t="s">
        <v>1518</v>
      </c>
      <c r="O18" s="1637"/>
      <c r="P18" s="1637" t="s">
        <v>1642</v>
      </c>
      <c r="Q18" s="1637"/>
      <c r="S18" s="1699" t="s">
        <v>2699</v>
      </c>
      <c r="T18" s="1699"/>
    </row>
    <row r="19" spans="1:20" s="278" customFormat="1" ht="16.5" customHeight="1">
      <c r="A19" s="305"/>
      <c r="B19" s="1702" t="s">
        <v>1602</v>
      </c>
      <c r="C19" s="1703"/>
      <c r="D19" s="1703"/>
      <c r="E19" s="1572"/>
      <c r="F19" s="1572"/>
      <c r="G19" s="1572"/>
      <c r="H19" s="3450"/>
      <c r="I19" s="3451"/>
      <c r="J19" s="3451"/>
      <c r="K19" s="3452"/>
      <c r="L19" s="3352"/>
      <c r="M19" s="3353"/>
      <c r="N19" s="3453">
        <v>0</v>
      </c>
      <c r="O19" s="3454"/>
      <c r="P19" s="3455">
        <v>24</v>
      </c>
      <c r="Q19" s="3456"/>
      <c r="S19" s="3426"/>
      <c r="T19" s="3427"/>
    </row>
    <row r="20" spans="1:20" s="278" customFormat="1" ht="16.5" customHeight="1">
      <c r="A20" s="305"/>
      <c r="B20" s="1704" t="s">
        <v>1603</v>
      </c>
      <c r="C20" s="1705"/>
      <c r="D20" s="1705"/>
      <c r="E20" s="1566"/>
      <c r="F20" s="1566"/>
      <c r="G20" s="1566"/>
      <c r="H20" s="3457"/>
      <c r="I20" s="3458"/>
      <c r="J20" s="3458"/>
      <c r="K20" s="3459"/>
      <c r="L20" s="3357"/>
      <c r="M20" s="3358"/>
      <c r="N20" s="3460"/>
      <c r="O20" s="3461"/>
      <c r="P20" s="3462"/>
      <c r="Q20" s="3463"/>
      <c r="S20" s="3429"/>
      <c r="T20" s="3430"/>
    </row>
    <row r="21" spans="1:20" s="278" customFormat="1" ht="16.5" customHeight="1">
      <c r="A21" s="305"/>
      <c r="B21" s="1700" t="s">
        <v>1604</v>
      </c>
      <c r="C21" s="1701"/>
      <c r="D21" s="1701"/>
      <c r="E21" s="1574"/>
      <c r="F21" s="1574"/>
      <c r="G21" s="1574"/>
      <c r="H21" s="3464"/>
      <c r="I21" s="3465"/>
      <c r="J21" s="3465"/>
      <c r="K21" s="3466"/>
      <c r="L21" s="3386"/>
      <c r="M21" s="3387"/>
      <c r="N21" s="3467"/>
      <c r="O21" s="3468"/>
      <c r="P21" s="3469"/>
      <c r="Q21" s="3470"/>
      <c r="S21" s="3429"/>
      <c r="T21" s="3430"/>
    </row>
    <row r="22" spans="1:20" s="278" customFormat="1" ht="16.5" customHeight="1">
      <c r="A22" s="305"/>
      <c r="B22" s="1702" t="s">
        <v>2230</v>
      </c>
      <c r="C22" s="1703"/>
      <c r="D22" s="1703"/>
      <c r="E22" s="1566"/>
      <c r="F22" s="1566"/>
      <c r="G22" s="1566"/>
      <c r="H22" s="3471"/>
      <c r="I22" s="3472"/>
      <c r="J22" s="3472"/>
      <c r="K22" s="3473"/>
      <c r="L22" s="3474"/>
      <c r="M22" s="3475"/>
      <c r="N22" s="1706"/>
      <c r="O22" s="1707"/>
      <c r="P22" s="1708"/>
      <c r="Q22" s="1708"/>
      <c r="S22" s="3429"/>
      <c r="T22" s="3430"/>
    </row>
    <row r="23" spans="1:20" s="278" customFormat="1" ht="16.5" customHeight="1">
      <c r="A23" s="305"/>
      <c r="B23" s="1704" t="s">
        <v>808</v>
      </c>
      <c r="C23" s="1705"/>
      <c r="D23" s="1705"/>
      <c r="E23" s="1566"/>
      <c r="H23" s="3457"/>
      <c r="I23" s="3458"/>
      <c r="J23" s="3458"/>
      <c r="K23" s="3459"/>
      <c r="L23" s="3357"/>
      <c r="M23" s="3358"/>
      <c r="N23" s="1706"/>
      <c r="O23" s="1707"/>
      <c r="P23" s="1708"/>
      <c r="Q23" s="1708"/>
      <c r="S23" s="3429"/>
      <c r="T23" s="3430"/>
    </row>
    <row r="24" spans="1:20" s="278" customFormat="1" ht="16.5" customHeight="1">
      <c r="A24" s="305"/>
      <c r="B24" s="1704" t="s">
        <v>646</v>
      </c>
      <c r="C24" s="1705"/>
      <c r="D24" s="1705"/>
      <c r="E24" s="1566"/>
      <c r="H24" s="3457"/>
      <c r="I24" s="3458"/>
      <c r="J24" s="3458"/>
      <c r="K24" s="3459"/>
      <c r="L24" s="3357"/>
      <c r="M24" s="3358"/>
      <c r="N24" s="1706"/>
      <c r="O24" s="1707"/>
      <c r="P24" s="1708"/>
      <c r="Q24" s="1708"/>
      <c r="S24" s="3429"/>
      <c r="T24" s="3430"/>
    </row>
    <row r="25" spans="1:20" s="278" customFormat="1" ht="16.5" customHeight="1">
      <c r="A25" s="305"/>
      <c r="B25" s="1704" t="s">
        <v>809</v>
      </c>
      <c r="C25" s="1705"/>
      <c r="D25" s="1705"/>
      <c r="E25" s="1566"/>
      <c r="H25" s="3457" t="s">
        <v>4569</v>
      </c>
      <c r="I25" s="3458"/>
      <c r="J25" s="3458"/>
      <c r="K25" s="3459"/>
      <c r="L25" s="3357">
        <v>2171811</v>
      </c>
      <c r="M25" s="3358"/>
      <c r="N25" s="305"/>
      <c r="O25" s="305"/>
      <c r="P25" s="305"/>
      <c r="Q25" s="305"/>
      <c r="S25" s="3433"/>
      <c r="T25" s="3434"/>
    </row>
    <row r="26" spans="1:20" s="278" customFormat="1" ht="16.5" customHeight="1">
      <c r="A26" s="305"/>
      <c r="B26" s="1704" t="s">
        <v>810</v>
      </c>
      <c r="C26" s="1705"/>
      <c r="D26" s="1705"/>
      <c r="E26" s="1566"/>
      <c r="H26" s="3457" t="s">
        <v>4569</v>
      </c>
      <c r="I26" s="3458"/>
      <c r="J26" s="3458"/>
      <c r="K26" s="3459"/>
      <c r="L26" s="3357">
        <v>1149898</v>
      </c>
      <c r="M26" s="3358"/>
      <c r="N26" s="305"/>
      <c r="Q26" s="305"/>
      <c r="S26" s="3426"/>
      <c r="T26" s="3427"/>
    </row>
    <row r="27" spans="1:20" s="278" customFormat="1" ht="16.5" customHeight="1">
      <c r="A27" s="305"/>
      <c r="B27" s="1565" t="s">
        <v>244</v>
      </c>
      <c r="C27" s="1566"/>
      <c r="D27" s="3476"/>
      <c r="E27" s="3476"/>
      <c r="F27" s="3476"/>
      <c r="G27" s="3476"/>
      <c r="H27" s="3457"/>
      <c r="I27" s="3458"/>
      <c r="J27" s="3458"/>
      <c r="K27" s="3459"/>
      <c r="L27" s="3357"/>
      <c r="M27" s="3358"/>
      <c r="N27" s="305"/>
      <c r="Q27" s="305"/>
      <c r="S27" s="3429"/>
      <c r="T27" s="3430"/>
    </row>
    <row r="28" spans="1:20" s="278" customFormat="1" ht="16.5" customHeight="1">
      <c r="A28" s="305"/>
      <c r="B28" s="1565" t="s">
        <v>244</v>
      </c>
      <c r="C28" s="1566"/>
      <c r="D28" s="3477"/>
      <c r="E28" s="3477"/>
      <c r="F28" s="3477"/>
      <c r="G28" s="3477"/>
      <c r="H28" s="3457"/>
      <c r="I28" s="3458"/>
      <c r="J28" s="3458"/>
      <c r="K28" s="3459"/>
      <c r="L28" s="3357"/>
      <c r="M28" s="3358"/>
      <c r="N28" s="305"/>
      <c r="S28" s="3429"/>
      <c r="T28" s="3430"/>
    </row>
    <row r="29" spans="1:20" s="278" customFormat="1" ht="16.5" customHeight="1">
      <c r="A29" s="305"/>
      <c r="B29" s="1573" t="s">
        <v>244</v>
      </c>
      <c r="C29" s="1574"/>
      <c r="D29" s="3478"/>
      <c r="E29" s="3478"/>
      <c r="F29" s="3478"/>
      <c r="G29" s="3478"/>
      <c r="H29" s="3464"/>
      <c r="I29" s="3465"/>
      <c r="J29" s="3465"/>
      <c r="K29" s="3466"/>
      <c r="L29" s="3386"/>
      <c r="M29" s="3387"/>
      <c r="N29" s="305"/>
      <c r="S29" s="3429"/>
      <c r="T29" s="3430"/>
    </row>
    <row r="30" spans="1:20" s="278" customFormat="1" ht="16.5" customHeight="1">
      <c r="A30" s="305"/>
      <c r="B30" s="277" t="s">
        <v>1309</v>
      </c>
      <c r="C30" s="305"/>
      <c r="D30" s="305"/>
      <c r="E30" s="305"/>
      <c r="F30" s="305"/>
      <c r="G30" s="305"/>
      <c r="H30" s="305"/>
      <c r="I30" s="305"/>
      <c r="L30" s="1709">
        <f>SUM(L19:L29)</f>
        <v>3321709</v>
      </c>
      <c r="M30" s="1710"/>
      <c r="N30" s="324"/>
      <c r="S30" s="3429"/>
      <c r="T30" s="3430"/>
    </row>
    <row r="31" spans="1:20" s="278" customFormat="1" ht="16.5" customHeight="1">
      <c r="A31" s="305"/>
      <c r="B31" s="1557" t="s">
        <v>1310</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3321709</v>
      </c>
      <c r="M31" s="3480"/>
      <c r="N31" s="900"/>
      <c r="S31" s="3429"/>
      <c r="T31" s="3430"/>
    </row>
    <row r="32" spans="1:20" s="278" customFormat="1" ht="16.5" customHeight="1">
      <c r="A32" s="305"/>
      <c r="B32" s="310" t="s">
        <v>2172</v>
      </c>
      <c r="C32" s="305"/>
      <c r="D32" s="305"/>
      <c r="E32" s="305"/>
      <c r="F32" s="305"/>
      <c r="G32" s="305"/>
      <c r="H32" s="305"/>
      <c r="I32" s="305"/>
      <c r="L32" s="1711">
        <f>L30-L31</f>
        <v>0</v>
      </c>
      <c r="M32" s="1712"/>
      <c r="N32" s="900"/>
      <c r="S32" s="3433"/>
      <c r="T32" s="3434"/>
    </row>
    <row r="33" spans="1:20" ht="9.6" customHeight="1">
      <c r="A33" s="333"/>
      <c r="B33" s="277"/>
      <c r="C33" s="324"/>
      <c r="D33" s="324"/>
      <c r="E33" s="324"/>
      <c r="F33" s="324"/>
      <c r="G33" s="324"/>
      <c r="H33" s="324"/>
      <c r="I33" s="324"/>
      <c r="J33" s="324"/>
      <c r="K33" s="324"/>
      <c r="L33" s="324"/>
      <c r="M33" s="1569"/>
      <c r="N33" s="1569"/>
    </row>
    <row r="34" spans="1:20" ht="9.6" customHeight="1">
      <c r="A34" s="307" t="s">
        <v>749</v>
      </c>
      <c r="B34" s="277" t="s">
        <v>807</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2114</v>
      </c>
      <c r="L35" s="1569" t="s">
        <v>1306</v>
      </c>
      <c r="M35" s="1569" t="s">
        <v>1311</v>
      </c>
      <c r="N35" s="1717" t="s">
        <v>35</v>
      </c>
      <c r="O35" s="1717"/>
      <c r="P35" s="1569"/>
      <c r="Q35" s="307"/>
      <c r="S35" s="355"/>
    </row>
    <row r="36" spans="1:20" s="278" customFormat="1" ht="13.15" customHeight="1">
      <c r="A36" s="305"/>
      <c r="B36" s="1575" t="s">
        <v>1884</v>
      </c>
      <c r="C36" s="1574"/>
      <c r="D36" s="1574"/>
      <c r="E36" s="1638" t="s">
        <v>1308</v>
      </c>
      <c r="F36" s="1638"/>
      <c r="G36" s="1638"/>
      <c r="H36" s="1638"/>
      <c r="I36" s="1637" t="s">
        <v>492</v>
      </c>
      <c r="J36" s="1637"/>
      <c r="K36" s="1563" t="s">
        <v>1818</v>
      </c>
      <c r="L36" s="1563" t="s">
        <v>2229</v>
      </c>
      <c r="M36" s="1563" t="s">
        <v>2229</v>
      </c>
      <c r="N36" s="3481"/>
      <c r="O36" s="3481"/>
      <c r="P36" s="1637" t="s">
        <v>75</v>
      </c>
      <c r="Q36" s="1637"/>
      <c r="S36" s="1699" t="s">
        <v>2699</v>
      </c>
      <c r="T36" s="1699"/>
    </row>
    <row r="37" spans="1:20" s="278" customFormat="1" ht="14.25" customHeight="1">
      <c r="A37" s="305"/>
      <c r="B37" s="1702" t="s">
        <v>2630</v>
      </c>
      <c r="C37" s="1703"/>
      <c r="D37" s="1703"/>
      <c r="E37" s="3450"/>
      <c r="F37" s="3451"/>
      <c r="G37" s="3451"/>
      <c r="H37" s="3452"/>
      <c r="I37" s="3482"/>
      <c r="J37" s="3483"/>
      <c r="K37" s="3484"/>
      <c r="L37" s="3425"/>
      <c r="M37" s="3425"/>
      <c r="N37" s="3485" t="str">
        <f t="shared" ref="N37:N41" si="0">IF(OR(I37&lt;=0,I37=""),"",IF(P37="Amortizing",-PMT(K37/12,M37*12,I37,0,0)*12,""))</f>
        <v/>
      </c>
      <c r="O37" s="3485"/>
      <c r="P37" s="3486"/>
      <c r="Q37" s="3486"/>
      <c r="S37" s="3426"/>
      <c r="T37" s="3427"/>
    </row>
    <row r="38" spans="1:20" s="278" customFormat="1" ht="14.25" customHeight="1">
      <c r="A38" s="305"/>
      <c r="B38" s="1704" t="s">
        <v>2631</v>
      </c>
      <c r="C38" s="1705"/>
      <c r="D38" s="1705"/>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4" t="s">
        <v>2632</v>
      </c>
      <c r="C39" s="1705"/>
      <c r="D39" s="1705"/>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5" t="s">
        <v>748</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5" t="s">
        <v>2766</v>
      </c>
      <c r="C41" s="1566"/>
      <c r="D41" s="1567"/>
      <c r="E41" s="3457"/>
      <c r="F41" s="3458"/>
      <c r="G41" s="3458"/>
      <c r="H41" s="3459"/>
      <c r="I41" s="3487"/>
      <c r="J41" s="3488"/>
      <c r="K41" s="480"/>
      <c r="L41" s="1568"/>
      <c r="M41" s="1568"/>
      <c r="N41" s="1720" t="str">
        <f t="shared" si="0"/>
        <v/>
      </c>
      <c r="O41" s="1720"/>
      <c r="P41" s="1721"/>
      <c r="Q41" s="1721"/>
      <c r="S41" s="3429"/>
      <c r="T41" s="3430"/>
    </row>
    <row r="42" spans="1:20" s="278" customFormat="1" ht="14.25" customHeight="1">
      <c r="A42" s="305"/>
      <c r="B42" s="1573" t="s">
        <v>230</v>
      </c>
      <c r="C42" s="1574"/>
      <c r="D42" s="382">
        <f>IF(OR(I42="",I42=0,'Part IV-A-Uses of Funds'!$G$118="",'Part IV-A-Uses of Funds'!$G$118=0),"",I42/'Part IV-A-Uses of Funds'!$G$118)</f>
        <v>1.6314567637895985E-2</v>
      </c>
      <c r="E42" s="3464" t="s">
        <v>4689</v>
      </c>
      <c r="F42" s="3465"/>
      <c r="G42" s="3465"/>
      <c r="H42" s="3466"/>
      <c r="I42" s="3497">
        <v>4069</v>
      </c>
      <c r="J42" s="3498"/>
      <c r="K42" s="3499">
        <v>0</v>
      </c>
      <c r="L42" s="3443">
        <v>1</v>
      </c>
      <c r="M42" s="3443"/>
      <c r="N42" s="3500">
        <v>4069</v>
      </c>
      <c r="O42" s="3501"/>
      <c r="P42" s="3502" t="s">
        <v>1174</v>
      </c>
      <c r="Q42" s="3503"/>
      <c r="S42" s="3429"/>
      <c r="T42" s="3430"/>
    </row>
    <row r="43" spans="1:20" s="278" customFormat="1" ht="3" customHeight="1">
      <c r="A43" s="305"/>
      <c r="B43" s="305"/>
      <c r="C43" s="305"/>
      <c r="D43" s="305"/>
      <c r="E43" s="305"/>
      <c r="F43" s="305"/>
      <c r="G43" s="305"/>
      <c r="H43" s="305"/>
      <c r="I43" s="1616"/>
      <c r="J43" s="3504"/>
      <c r="K43" s="1615"/>
      <c r="L43" s="1569"/>
      <c r="M43" s="1569"/>
      <c r="N43" s="1617"/>
      <c r="O43" s="1617"/>
      <c r="P43" s="1569"/>
      <c r="Q43" s="1569"/>
      <c r="S43" s="3505"/>
      <c r="T43" s="3506"/>
    </row>
    <row r="44" spans="1:20" s="278" customFormat="1" ht="14.25" customHeight="1">
      <c r="A44" s="305"/>
      <c r="B44" s="1165" t="s">
        <v>4239</v>
      </c>
      <c r="C44" s="1566"/>
      <c r="E44" s="278" t="s">
        <v>4135</v>
      </c>
      <c r="F44" s="1718">
        <f>IF(OR($I$42="",$I$42=0,'Part VII-Pro Forma'!$S$33=0,'Part VII-Pro Forma'!$S$33=""),"",VLOOKUP($L$42,'Part VII-Pro Forma'!$Q$19:$S$38,3))</f>
        <v>55402.262400000007</v>
      </c>
      <c r="G44" s="1719"/>
      <c r="H44" s="649" t="s">
        <v>4238</v>
      </c>
      <c r="I44" s="1715">
        <f>IF(OR($I$42="",$I$42=0,'Part VII-Pro Forma'!$R$33=0,'Part VII-Pro Forma'!$R$33=""),"",VLOOKUP($L$42,'Part VII-Pro Forma'!$Q$19:$S$33,2))</f>
        <v>4069</v>
      </c>
      <c r="J44" s="1716"/>
      <c r="K44" s="3507"/>
      <c r="L44" s="1569"/>
      <c r="M44" s="1569"/>
      <c r="N44" s="1617"/>
      <c r="O44" s="1617"/>
      <c r="P44" s="1569"/>
      <c r="Q44" s="1569"/>
      <c r="S44" s="3505"/>
      <c r="T44" s="3506"/>
    </row>
    <row r="45" spans="1:20" s="278" customFormat="1" ht="14.25" customHeight="1">
      <c r="A45" s="305"/>
      <c r="B45" s="1165" t="s">
        <v>4298</v>
      </c>
      <c r="C45" s="1566"/>
      <c r="D45" s="1166"/>
      <c r="F45" s="3508">
        <f>I45</f>
        <v>7.3444654130225551E-2</v>
      </c>
      <c r="G45" s="3509"/>
      <c r="H45" s="649" t="s">
        <v>4240</v>
      </c>
      <c r="I45" s="1713">
        <f>IF(OR($F$44 = 0,$F$44 =""),"",$I$44/$F$44)</f>
        <v>7.3444654130225551E-2</v>
      </c>
      <c r="J45" s="1714"/>
      <c r="K45" s="1615"/>
      <c r="L45" s="1569"/>
      <c r="M45" s="1569"/>
      <c r="N45" s="1617"/>
      <c r="O45" s="1617"/>
      <c r="P45" s="1569"/>
      <c r="Q45" s="1569"/>
      <c r="S45" s="3505"/>
      <c r="T45" s="3506"/>
    </row>
    <row r="46" spans="1:20" s="278" customFormat="1" ht="3" customHeight="1">
      <c r="A46" s="305"/>
      <c r="B46" s="305"/>
      <c r="C46" s="305"/>
      <c r="D46" s="305"/>
      <c r="E46" s="305"/>
      <c r="F46" s="305"/>
      <c r="G46" s="305"/>
      <c r="H46" s="305"/>
      <c r="I46" s="3510"/>
      <c r="J46" s="3511"/>
      <c r="K46" s="1615"/>
      <c r="L46" s="1569"/>
      <c r="M46" s="1569"/>
      <c r="N46" s="1617"/>
      <c r="O46" s="1617"/>
      <c r="P46" s="1569"/>
      <c r="Q46" s="1569"/>
      <c r="S46" s="3505"/>
      <c r="T46" s="3506"/>
    </row>
    <row r="47" spans="1:20" s="278" customFormat="1" ht="14.25" customHeight="1">
      <c r="A47" s="305"/>
      <c r="B47" s="1722" t="s">
        <v>2230</v>
      </c>
      <c r="C47" s="1723"/>
      <c r="D47" s="1724"/>
      <c r="E47" s="3450"/>
      <c r="F47" s="3451"/>
      <c r="G47" s="3451"/>
      <c r="H47" s="3452"/>
      <c r="I47" s="3512"/>
      <c r="J47" s="3513"/>
      <c r="K47" s="383"/>
      <c r="L47" s="383"/>
      <c r="M47" s="383"/>
      <c r="N47" s="383"/>
      <c r="O47" s="383"/>
      <c r="P47" s="383"/>
      <c r="Q47" s="383"/>
      <c r="S47" s="3426"/>
      <c r="T47" s="3427"/>
    </row>
    <row r="48" spans="1:20" s="278" customFormat="1" ht="14.25" customHeight="1">
      <c r="A48" s="305"/>
      <c r="B48" s="1704" t="s">
        <v>808</v>
      </c>
      <c r="C48" s="1705"/>
      <c r="D48" s="1725"/>
      <c r="E48" s="3457"/>
      <c r="F48" s="3458"/>
      <c r="G48" s="3458"/>
      <c r="H48" s="3459"/>
      <c r="I48" s="3487"/>
      <c r="J48" s="3488"/>
      <c r="L48" s="1726" t="s">
        <v>521</v>
      </c>
      <c r="M48" s="1726"/>
      <c r="N48" s="1727" t="s">
        <v>522</v>
      </c>
      <c r="O48" s="1727"/>
      <c r="P48" s="413" t="s">
        <v>520</v>
      </c>
      <c r="Q48" s="383"/>
      <c r="S48" s="3429"/>
      <c r="T48" s="3430"/>
    </row>
    <row r="49" spans="1:23" s="278" customFormat="1" ht="14.25" customHeight="1">
      <c r="A49" s="305"/>
      <c r="B49" s="1704" t="s">
        <v>809</v>
      </c>
      <c r="C49" s="1705"/>
      <c r="D49" s="1725"/>
      <c r="E49" s="3457" t="s">
        <v>4569</v>
      </c>
      <c r="F49" s="3458"/>
      <c r="G49" s="3458"/>
      <c r="H49" s="3459"/>
      <c r="I49" s="3487">
        <v>2507249</v>
      </c>
      <c r="J49" s="3487"/>
      <c r="L49" s="1728">
        <f>'Part IV-A-Uses of Funds'!$J$175*10*'Part IV-A-Uses of Funds'!$N$168</f>
        <v>2507500</v>
      </c>
      <c r="M49" s="1728"/>
      <c r="N49" s="1729">
        <f>I49-L49</f>
        <v>-251</v>
      </c>
      <c r="O49" s="1729"/>
      <c r="P49" s="414" t="s">
        <v>2576</v>
      </c>
      <c r="Q49" s="383"/>
      <c r="S49" s="3429"/>
      <c r="T49" s="3430"/>
    </row>
    <row r="50" spans="1:23" s="278" customFormat="1" ht="14.25" customHeight="1">
      <c r="A50" s="305"/>
      <c r="B50" s="1704" t="s">
        <v>810</v>
      </c>
      <c r="C50" s="1705"/>
      <c r="D50" s="1725"/>
      <c r="E50" s="3457" t="s">
        <v>4569</v>
      </c>
      <c r="F50" s="3458"/>
      <c r="G50" s="3458"/>
      <c r="H50" s="3459"/>
      <c r="I50" s="3487">
        <v>1327500</v>
      </c>
      <c r="J50" s="3487"/>
      <c r="L50" s="1728">
        <f>'Part IV-A-Uses of Funds'!$J$175*10*'Part IV-A-Uses of Funds'!$Q$168</f>
        <v>1327500</v>
      </c>
      <c r="M50" s="1728"/>
      <c r="N50" s="1729">
        <f>I50-L50</f>
        <v>0</v>
      </c>
      <c r="O50" s="1729"/>
      <c r="P50" s="415">
        <f>I49/I59</f>
        <v>0.65313046880576264</v>
      </c>
      <c r="Q50" s="383"/>
      <c r="S50" s="3429"/>
      <c r="T50" s="3430"/>
    </row>
    <row r="51" spans="1:23" s="278" customFormat="1" ht="14.25" customHeight="1">
      <c r="A51" s="305"/>
      <c r="B51" s="1704" t="s">
        <v>1421</v>
      </c>
      <c r="C51" s="1705"/>
      <c r="D51" s="1725"/>
      <c r="E51" s="3457"/>
      <c r="F51" s="3458"/>
      <c r="G51" s="3458"/>
      <c r="H51" s="3459"/>
      <c r="I51" s="3487"/>
      <c r="J51" s="3487"/>
      <c r="P51" s="415">
        <f>I50/I59</f>
        <v>0.3458095695081142</v>
      </c>
      <c r="Q51" s="383"/>
      <c r="S51" s="3433"/>
      <c r="T51" s="3434"/>
    </row>
    <row r="52" spans="1:23" s="278" customFormat="1" ht="14.25" customHeight="1">
      <c r="A52" s="305"/>
      <c r="B52" s="1565" t="s">
        <v>535</v>
      </c>
      <c r="C52" s="1566"/>
      <c r="D52" s="1567"/>
      <c r="E52" s="3457"/>
      <c r="F52" s="3458"/>
      <c r="G52" s="3458"/>
      <c r="H52" s="3459"/>
      <c r="I52" s="3487"/>
      <c r="J52" s="3487"/>
      <c r="K52" s="305"/>
      <c r="P52" s="416">
        <f>SUM(P50:P51)</f>
        <v>0.9989400383138769</v>
      </c>
      <c r="Q52" s="383"/>
      <c r="S52" s="3429"/>
      <c r="T52" s="3430"/>
    </row>
    <row r="53" spans="1:23" s="278" customFormat="1" ht="14.25" customHeight="1">
      <c r="A53" s="305"/>
      <c r="B53" s="1565" t="s">
        <v>1882</v>
      </c>
      <c r="C53" s="1566"/>
      <c r="D53" s="1567"/>
      <c r="E53" s="3457"/>
      <c r="F53" s="3458"/>
      <c r="G53" s="3458"/>
      <c r="H53" s="3459"/>
      <c r="I53" s="3487"/>
      <c r="J53" s="3487"/>
      <c r="N53" s="384"/>
      <c r="O53" s="384"/>
      <c r="P53" s="384"/>
      <c r="Q53" s="383"/>
      <c r="S53" s="3429"/>
      <c r="T53" s="3430"/>
    </row>
    <row r="54" spans="1:23" s="278" customFormat="1" ht="14.25" customHeight="1">
      <c r="A54" s="305"/>
      <c r="B54" s="1565" t="s">
        <v>1883</v>
      </c>
      <c r="C54" s="1566"/>
      <c r="D54" s="1567"/>
      <c r="E54" s="3457"/>
      <c r="F54" s="3458"/>
      <c r="G54" s="3458"/>
      <c r="H54" s="3459"/>
      <c r="I54" s="3487"/>
      <c r="J54" s="3487"/>
      <c r="M54" s="384"/>
      <c r="N54" s="384"/>
      <c r="O54" s="384"/>
      <c r="P54" s="384"/>
      <c r="Q54" s="383"/>
      <c r="S54" s="3429"/>
      <c r="T54" s="3430"/>
    </row>
    <row r="55" spans="1:23" s="278" customFormat="1" ht="14.25" customHeight="1">
      <c r="A55" s="305"/>
      <c r="B55" s="1565" t="s">
        <v>748</v>
      </c>
      <c r="C55" s="3476"/>
      <c r="D55" s="3476"/>
      <c r="E55" s="3457"/>
      <c r="F55" s="3458"/>
      <c r="G55" s="3458"/>
      <c r="H55" s="3459"/>
      <c r="I55" s="3487"/>
      <c r="J55" s="3487"/>
      <c r="M55" s="384"/>
      <c r="N55" s="384"/>
      <c r="O55" s="384"/>
      <c r="P55" s="384"/>
      <c r="Q55" s="383"/>
      <c r="S55" s="3429"/>
      <c r="T55" s="3430"/>
    </row>
    <row r="56" spans="1:23" s="278" customFormat="1" ht="14.25" customHeight="1">
      <c r="A56" s="305"/>
      <c r="B56" s="1565" t="s">
        <v>748</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73" t="s">
        <v>748</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7" t="s">
        <v>2231</v>
      </c>
      <c r="C58" s="305"/>
      <c r="D58" s="305"/>
      <c r="E58" s="305"/>
      <c r="F58" s="305"/>
      <c r="G58" s="305"/>
      <c r="I58" s="1731">
        <f>SUM(I37:J42)+SUM(I47:J57)</f>
        <v>3838818</v>
      </c>
      <c r="J58" s="1732"/>
      <c r="K58" s="305"/>
      <c r="L58" s="385"/>
      <c r="M58" s="384"/>
      <c r="N58" s="384"/>
      <c r="O58" s="384"/>
      <c r="P58" s="384"/>
      <c r="Q58" s="383"/>
      <c r="S58" s="3429"/>
      <c r="T58" s="3430"/>
    </row>
    <row r="59" spans="1:23" s="278" customFormat="1" ht="14.25" customHeight="1" thickBot="1">
      <c r="A59" s="305"/>
      <c r="B59" s="1557" t="s">
        <v>2232</v>
      </c>
      <c r="C59" s="305"/>
      <c r="D59" s="305"/>
      <c r="E59" s="305"/>
      <c r="F59" s="305"/>
      <c r="G59" s="305"/>
      <c r="I59" s="1733">
        <f>'Part IV-A-Uses of Funds'!$G$132</f>
        <v>3838818</v>
      </c>
      <c r="J59" s="1734"/>
      <c r="K59" s="305"/>
      <c r="L59" s="385"/>
      <c r="M59" s="384"/>
      <c r="N59" s="384"/>
      <c r="O59" s="384"/>
      <c r="P59" s="384"/>
      <c r="Q59" s="383"/>
      <c r="S59" s="3429"/>
      <c r="T59" s="3430"/>
    </row>
    <row r="60" spans="1:23" s="278" customFormat="1" ht="14.25" customHeight="1" thickBot="1">
      <c r="A60" s="305"/>
      <c r="B60" s="310" t="s">
        <v>1536</v>
      </c>
      <c r="C60" s="305"/>
      <c r="D60" s="305"/>
      <c r="E60" s="305"/>
      <c r="F60" s="305"/>
      <c r="G60" s="305"/>
      <c r="I60" s="1735">
        <f>I58-I59</f>
        <v>0</v>
      </c>
      <c r="J60" s="1736"/>
      <c r="K60" s="305"/>
      <c r="L60" s="385"/>
      <c r="M60" s="384"/>
      <c r="N60" s="384"/>
      <c r="O60" s="384"/>
      <c r="P60" s="384"/>
      <c r="Q60" s="383"/>
      <c r="S60" s="3433"/>
      <c r="T60" s="3434"/>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3312" t="s">
        <v>4696</v>
      </c>
      <c r="B64" s="3312"/>
      <c r="C64" s="3312"/>
      <c r="D64" s="3312"/>
      <c r="E64" s="3312"/>
      <c r="F64" s="3312"/>
      <c r="G64" s="3312"/>
      <c r="H64" s="3312"/>
      <c r="I64" s="3312"/>
      <c r="J64" s="3312"/>
      <c r="K64" s="3312"/>
      <c r="L64" s="3312"/>
      <c r="M64" s="3313"/>
      <c r="N64" s="3313"/>
      <c r="O64" s="3313"/>
      <c r="P64" s="3313"/>
      <c r="Q64" s="3313"/>
      <c r="S64" s="1730" t="s">
        <v>2709</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ukQN5vns544IZ5uW29TCS29MBoAkUdayBqP3+RA13USQljOYsXt7JO6slnbBSWNhV67TVox7rkdrkCT5P+HIpw==" saltValue="JVLnGtx+ZvO9y3hK0BLvn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2495</v>
      </c>
      <c r="B16" s="214" t="s">
        <v>2492</v>
      </c>
      <c r="C16" s="214" t="s">
        <v>2493</v>
      </c>
      <c r="D16" s="1748" t="s">
        <v>2269</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2486</v>
      </c>
      <c r="B59" s="1737"/>
      <c r="C59" s="1737"/>
      <c r="D59" s="1737"/>
      <c r="E59" s="1737"/>
      <c r="F59" s="1737"/>
      <c r="G59" s="1737" t="s">
        <v>2486</v>
      </c>
      <c r="H59" s="1737"/>
      <c r="I59" s="1737"/>
      <c r="J59" s="1737"/>
      <c r="K59" s="1737"/>
      <c r="L59" s="1737"/>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2270</v>
      </c>
      <c r="D5" s="228"/>
      <c r="E5" s="1749" t="s">
        <v>964</v>
      </c>
      <c r="F5" s="1750"/>
      <c r="G5" s="165"/>
    </row>
    <row r="6" spans="1:17">
      <c r="E6" s="1750"/>
      <c r="F6" s="1750"/>
      <c r="G6" s="165"/>
    </row>
    <row r="7" spans="1:17">
      <c r="A7" s="28" t="s">
        <v>2478</v>
      </c>
      <c r="C7" s="28" t="s">
        <v>2479</v>
      </c>
      <c r="D7" s="229"/>
      <c r="E7" s="1750"/>
      <c r="F7" s="1750"/>
      <c r="G7" s="165"/>
    </row>
    <row r="8" spans="1:17">
      <c r="C8" s="28" t="s">
        <v>2480</v>
      </c>
      <c r="D8" s="229"/>
      <c r="E8" s="1750"/>
      <c r="F8" s="1750"/>
      <c r="G8" s="165"/>
    </row>
    <row r="9" spans="1:17">
      <c r="C9" s="28" t="s">
        <v>2481</v>
      </c>
      <c r="D9" s="229"/>
      <c r="E9" s="1750"/>
      <c r="F9" s="1750"/>
      <c r="G9" s="165"/>
    </row>
    <row r="10" spans="1:17">
      <c r="C10" s="28" t="s">
        <v>2494</v>
      </c>
      <c r="D10" s="234">
        <f>D7+D8+D9</f>
        <v>0</v>
      </c>
      <c r="E10" s="1750"/>
      <c r="F10" s="1750"/>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1739" t="s">
        <v>1729</v>
      </c>
      <c r="B24" s="1739"/>
      <c r="C24" s="1739"/>
      <c r="D24" s="1739"/>
      <c r="E24" s="1739"/>
      <c r="F24" s="1739"/>
      <c r="J24" s="237"/>
    </row>
    <row r="25" spans="1:10">
      <c r="C25" s="198"/>
      <c r="J25" s="237"/>
    </row>
    <row r="26" spans="1:10">
      <c r="A26" s="107"/>
      <c r="B26" s="83"/>
      <c r="C26" s="1751" t="s">
        <v>2269</v>
      </c>
      <c r="D26" s="232"/>
      <c r="E26" s="83"/>
      <c r="F26" s="1751" t="s">
        <v>2269</v>
      </c>
      <c r="J26" s="237"/>
    </row>
    <row r="27" spans="1:10">
      <c r="A27" s="238" t="s">
        <v>2495</v>
      </c>
      <c r="B27" s="74" t="s">
        <v>1035</v>
      </c>
      <c r="C27" s="1752"/>
      <c r="D27" s="239" t="s">
        <v>2495</v>
      </c>
      <c r="E27" s="74" t="s">
        <v>1035</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2486</v>
      </c>
      <c r="B51" s="1737"/>
      <c r="C51" s="1737"/>
      <c r="D51" s="1737"/>
      <c r="E51" s="1737"/>
      <c r="F51" s="1737"/>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6" zoomScaleNormal="100" workbookViewId="0">
      <selection activeCell="A5"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2018-032 Hillcrest Apartments, Dublin, Laurens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2018-032 Hillcrest Apartments, Dublin, Laurens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621</v>
      </c>
      <c r="B5" s="437" t="s">
        <v>908</v>
      </c>
      <c r="H5" s="504"/>
      <c r="I5" s="504"/>
      <c r="J5" s="1756" t="s">
        <v>273</v>
      </c>
      <c r="K5" s="1757"/>
      <c r="L5" s="360"/>
      <c r="M5" s="1760" t="s">
        <v>493</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2015</v>
      </c>
      <c r="G8" s="3352">
        <v>3000</v>
      </c>
      <c r="H8" s="3353"/>
      <c r="J8" s="3352"/>
      <c r="K8" s="3353"/>
      <c r="L8" s="1577"/>
      <c r="M8" s="3352"/>
      <c r="N8" s="3353"/>
      <c r="P8" s="3352">
        <v>3000</v>
      </c>
      <c r="Q8" s="3353"/>
      <c r="S8" s="3352"/>
      <c r="T8" s="3353"/>
      <c r="V8" s="3354"/>
      <c r="W8" s="3355"/>
      <c r="X8" s="3356"/>
    </row>
    <row r="9" spans="1:24" s="305" customFormat="1" ht="12.6" customHeight="1">
      <c r="B9" s="305" t="s">
        <v>461</v>
      </c>
      <c r="G9" s="3357">
        <v>5150</v>
      </c>
      <c r="H9" s="3358"/>
      <c r="J9" s="3357"/>
      <c r="K9" s="3358"/>
      <c r="L9" s="1577"/>
      <c r="M9" s="3357"/>
      <c r="N9" s="3358"/>
      <c r="P9" s="3357">
        <v>5150</v>
      </c>
      <c r="Q9" s="3358"/>
      <c r="S9" s="3357"/>
      <c r="T9" s="3358"/>
      <c r="V9" s="3354"/>
      <c r="W9" s="3355"/>
      <c r="X9" s="3356"/>
    </row>
    <row r="10" spans="1:24" s="305" customFormat="1" ht="12.6" customHeight="1">
      <c r="B10" s="305" t="s">
        <v>490</v>
      </c>
      <c r="G10" s="3357">
        <v>8500</v>
      </c>
      <c r="H10" s="3358"/>
      <c r="J10" s="3357"/>
      <c r="K10" s="3358"/>
      <c r="L10" s="1577"/>
      <c r="M10" s="3357"/>
      <c r="N10" s="3358"/>
      <c r="P10" s="3357">
        <v>8500</v>
      </c>
      <c r="Q10" s="3358"/>
      <c r="S10" s="3357"/>
      <c r="T10" s="3358"/>
      <c r="V10" s="3354"/>
      <c r="W10" s="3355"/>
      <c r="X10" s="3356"/>
    </row>
    <row r="11" spans="1:24" s="305" customFormat="1" ht="12.6" customHeight="1">
      <c r="B11" s="305" t="s">
        <v>491</v>
      </c>
      <c r="G11" s="3357"/>
      <c r="H11" s="3358"/>
      <c r="J11" s="3357"/>
      <c r="K11" s="3358"/>
      <c r="L11" s="1577"/>
      <c r="M11" s="3357"/>
      <c r="N11" s="3358"/>
      <c r="P11" s="3357"/>
      <c r="Q11" s="3358"/>
      <c r="S11" s="3357"/>
      <c r="T11" s="3358"/>
      <c r="V11" s="3354"/>
      <c r="W11" s="3355"/>
      <c r="X11" s="3356"/>
    </row>
    <row r="12" spans="1:24" s="305" customFormat="1" ht="12.6" customHeight="1">
      <c r="B12" s="305" t="s">
        <v>2515</v>
      </c>
      <c r="G12" s="3357">
        <v>8000</v>
      </c>
      <c r="H12" s="3358"/>
      <c r="J12" s="3357"/>
      <c r="K12" s="3358"/>
      <c r="L12" s="1577"/>
      <c r="M12" s="3357"/>
      <c r="N12" s="3358"/>
      <c r="P12" s="3357">
        <v>8000</v>
      </c>
      <c r="Q12" s="3358"/>
      <c r="S12" s="3357"/>
      <c r="T12" s="3358"/>
      <c r="V12" s="3354"/>
      <c r="W12" s="3355"/>
      <c r="X12" s="3356"/>
    </row>
    <row r="13" spans="1:24" s="305" customFormat="1" ht="12.6" customHeight="1">
      <c r="B13" s="305" t="s">
        <v>192</v>
      </c>
      <c r="G13" s="3357"/>
      <c r="H13" s="3358"/>
      <c r="J13" s="3357"/>
      <c r="K13" s="3358"/>
      <c r="L13" s="1577"/>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748</v>
      </c>
      <c r="C14" s="3359" t="s">
        <v>4639</v>
      </c>
      <c r="D14" s="3359"/>
      <c r="E14" s="3359"/>
      <c r="F14" s="3360"/>
      <c r="G14" s="3357">
        <v>5000</v>
      </c>
      <c r="H14" s="3358"/>
      <c r="J14" s="3357"/>
      <c r="K14" s="3358"/>
      <c r="L14" s="1577"/>
      <c r="M14" s="3357"/>
      <c r="N14" s="3358"/>
      <c r="P14" s="3357">
        <v>5000</v>
      </c>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748</v>
      </c>
      <c r="C15" s="3359" t="s">
        <v>3740</v>
      </c>
      <c r="D15" s="3359"/>
      <c r="E15" s="3359"/>
      <c r="F15" s="3360"/>
      <c r="G15" s="3357"/>
      <c r="H15" s="3358"/>
      <c r="J15" s="3357"/>
      <c r="K15" s="3358"/>
      <c r="L15" s="1577"/>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748</v>
      </c>
      <c r="C16" s="3359" t="s">
        <v>3740</v>
      </c>
      <c r="D16" s="3359"/>
      <c r="E16" s="3359"/>
      <c r="F16" s="3360"/>
      <c r="G16" s="3362"/>
      <c r="H16" s="3363"/>
      <c r="J16" s="3362"/>
      <c r="K16" s="3363"/>
      <c r="L16" s="1577"/>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766">
        <f>SUM(G8:H16)</f>
        <v>29650</v>
      </c>
      <c r="H17" s="1767"/>
      <c r="J17" s="1766">
        <f>SUM(J8:K16)</f>
        <v>0</v>
      </c>
      <c r="K17" s="1768"/>
      <c r="L17" s="1577"/>
      <c r="M17" s="1766">
        <f>SUM(M8:N16)</f>
        <v>0</v>
      </c>
      <c r="N17" s="1767"/>
      <c r="P17" s="1766">
        <f>SUM(P8:Q16)</f>
        <v>29650</v>
      </c>
      <c r="Q17" s="1767"/>
      <c r="S17" s="1766">
        <f>SUM(S8:T16)</f>
        <v>0</v>
      </c>
      <c r="T17" s="1767"/>
      <c r="V17" s="3366">
        <f>SUM(V8:V16)</f>
        <v>0</v>
      </c>
      <c r="W17" s="3367"/>
      <c r="X17" s="3368"/>
    </row>
    <row r="18" spans="2:24" s="305" customFormat="1" ht="12" customHeight="1">
      <c r="B18" s="307" t="s">
        <v>2212</v>
      </c>
      <c r="J18" s="360"/>
      <c r="K18" s="360"/>
      <c r="M18" s="360"/>
      <c r="N18" s="360"/>
      <c r="O18" s="362" t="str">
        <f>B18</f>
        <v>ACQUISITION</v>
      </c>
      <c r="P18" s="360"/>
      <c r="Q18" s="360"/>
      <c r="S18" s="360"/>
      <c r="T18" s="360"/>
      <c r="V18" s="1176"/>
      <c r="W18" s="305" t="str">
        <f>B18</f>
        <v>ACQUISITION</v>
      </c>
    </row>
    <row r="19" spans="2:24" s="305" customFormat="1" ht="12.6" customHeight="1">
      <c r="B19" s="305" t="s">
        <v>2213</v>
      </c>
      <c r="G19" s="3352">
        <v>110000</v>
      </c>
      <c r="H19" s="3353"/>
      <c r="J19" s="363"/>
      <c r="K19" s="360"/>
      <c r="L19" s="363"/>
      <c r="M19" s="363"/>
      <c r="N19" s="360"/>
      <c r="P19" s="363"/>
      <c r="Q19" s="360"/>
      <c r="S19" s="3352">
        <v>110000</v>
      </c>
      <c r="T19" s="3353"/>
      <c r="V19" s="3354"/>
      <c r="W19" s="3355"/>
      <c r="X19" s="3356"/>
    </row>
    <row r="20" spans="2:24" s="305" customFormat="1" ht="12.6" customHeight="1">
      <c r="B20" s="305" t="s">
        <v>1128</v>
      </c>
      <c r="G20" s="3357"/>
      <c r="H20" s="3358"/>
      <c r="J20" s="363"/>
      <c r="K20" s="360"/>
      <c r="L20" s="363"/>
      <c r="M20" s="363"/>
      <c r="N20" s="360"/>
      <c r="P20" s="363"/>
      <c r="Q20" s="360"/>
      <c r="S20" s="3357"/>
      <c r="T20" s="3358"/>
      <c r="V20" s="3354"/>
      <c r="W20" s="3355"/>
      <c r="X20" s="3356"/>
    </row>
    <row r="21" spans="2:24" s="305" customFormat="1" ht="12.6" customHeight="1">
      <c r="B21" s="305" t="s">
        <v>462</v>
      </c>
      <c r="G21" s="3357">
        <v>10000</v>
      </c>
      <c r="H21" s="3358"/>
      <c r="J21" s="363"/>
      <c r="K21" s="360"/>
      <c r="L21" s="363"/>
      <c r="M21" s="3357">
        <v>10000</v>
      </c>
      <c r="N21" s="3358"/>
      <c r="P21" s="363"/>
      <c r="Q21" s="360"/>
      <c r="S21" s="3357"/>
      <c r="T21" s="3358"/>
      <c r="V21" s="3354"/>
      <c r="W21" s="3355"/>
      <c r="X21" s="3356"/>
    </row>
    <row r="22" spans="2:24" s="305" customFormat="1" ht="12.6" customHeight="1" thickBot="1">
      <c r="B22" s="305" t="s">
        <v>432</v>
      </c>
      <c r="G22" s="3362">
        <v>858975</v>
      </c>
      <c r="H22" s="3363"/>
      <c r="J22" s="363"/>
      <c r="K22" s="360"/>
      <c r="L22" s="363"/>
      <c r="M22" s="3362">
        <v>858975</v>
      </c>
      <c r="N22" s="3363"/>
      <c r="P22" s="363"/>
      <c r="Q22" s="360"/>
      <c r="S22" s="3362"/>
      <c r="T22" s="3363"/>
      <c r="V22" s="3354"/>
      <c r="W22" s="3364"/>
      <c r="X22" s="3365"/>
    </row>
    <row r="23" spans="2:24" s="305" customFormat="1" ht="12.6" customHeight="1" thickTop="1">
      <c r="F23" s="361" t="s">
        <v>193</v>
      </c>
      <c r="G23" s="1766">
        <f>SUM(G19:H22)</f>
        <v>978975</v>
      </c>
      <c r="H23" s="1767"/>
      <c r="J23" s="363"/>
      <c r="K23" s="360"/>
      <c r="L23" s="363"/>
      <c r="M23" s="1766">
        <f>SUM(M21:N22)</f>
        <v>868975</v>
      </c>
      <c r="N23" s="1767"/>
      <c r="P23" s="363"/>
      <c r="Q23" s="360"/>
      <c r="S23" s="1766">
        <f>SUM(S19:T22)</f>
        <v>110000</v>
      </c>
      <c r="T23" s="1767"/>
      <c r="V23" s="3366">
        <f>SUM(V19:V22)</f>
        <v>0</v>
      </c>
      <c r="W23" s="3367"/>
      <c r="X23" s="3368"/>
    </row>
    <row r="24" spans="2:24" s="305" customFormat="1" ht="12" customHeight="1">
      <c r="B24" s="307" t="s">
        <v>1129</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1130</v>
      </c>
      <c r="E25" s="901" t="s">
        <v>3756</v>
      </c>
      <c r="F25" s="481">
        <f>IF('Part I-Project Information'!$O$37="","",G25/'Part I-Project Information'!$O$37)</f>
        <v>10229.645093945721</v>
      </c>
      <c r="G25" s="3352">
        <v>49000</v>
      </c>
      <c r="H25" s="3353"/>
      <c r="J25" s="3352"/>
      <c r="K25" s="3353"/>
      <c r="L25" s="1577"/>
      <c r="M25" s="3369"/>
      <c r="N25" s="3370"/>
      <c r="P25" s="3369">
        <v>49000</v>
      </c>
      <c r="Q25" s="3370"/>
      <c r="S25" s="3352"/>
      <c r="T25" s="3353"/>
      <c r="V25" s="3354"/>
      <c r="W25" s="3355"/>
      <c r="X25" s="3356"/>
    </row>
    <row r="26" spans="2:24" s="305" customFormat="1" ht="12.6" customHeight="1" thickBot="1">
      <c r="B26" s="305" t="s">
        <v>1131</v>
      </c>
      <c r="G26" s="3362"/>
      <c r="H26" s="3363"/>
      <c r="J26" s="3362"/>
      <c r="K26" s="3363"/>
      <c r="L26" s="364"/>
      <c r="M26" s="1769"/>
      <c r="N26" s="1769"/>
      <c r="P26" s="1769"/>
      <c r="Q26" s="1769"/>
      <c r="S26" s="3362"/>
      <c r="T26" s="3363"/>
      <c r="V26" s="3354"/>
      <c r="W26" s="3364"/>
      <c r="X26" s="3365"/>
    </row>
    <row r="27" spans="2:24" s="305" customFormat="1" ht="12.6" customHeight="1" thickTop="1">
      <c r="F27" s="361" t="s">
        <v>193</v>
      </c>
      <c r="G27" s="1766">
        <f>SUM(G25:H26)</f>
        <v>49000</v>
      </c>
      <c r="H27" s="1767"/>
      <c r="J27" s="1766">
        <f>SUM(J25:K26)</f>
        <v>0</v>
      </c>
      <c r="K27" s="1767"/>
      <c r="L27" s="363"/>
      <c r="M27" s="1766">
        <f>M25</f>
        <v>0</v>
      </c>
      <c r="N27" s="1767"/>
      <c r="P27" s="1766">
        <f>P25</f>
        <v>49000</v>
      </c>
      <c r="Q27" s="1767"/>
      <c r="S27" s="1766">
        <f>SUM(S25:T26)</f>
        <v>0</v>
      </c>
      <c r="T27" s="1767"/>
      <c r="V27" s="3366">
        <f>SUM(V25:V26)</f>
        <v>0</v>
      </c>
      <c r="W27" s="3367"/>
      <c r="X27" s="3368"/>
    </row>
    <row r="28" spans="2:24" s="305" customFormat="1" ht="12" customHeight="1">
      <c r="B28" s="307" t="s">
        <v>1132</v>
      </c>
      <c r="J28" s="363"/>
      <c r="K28" s="360"/>
      <c r="M28" s="363"/>
      <c r="N28" s="360"/>
      <c r="O28" s="362" t="str">
        <f>B28</f>
        <v>STRUCTURES</v>
      </c>
      <c r="P28" s="363"/>
      <c r="Q28" s="360"/>
      <c r="S28" s="363"/>
      <c r="T28" s="360"/>
      <c r="V28" s="1176"/>
      <c r="W28" s="305" t="str">
        <f>B28</f>
        <v>STRUCTURES</v>
      </c>
    </row>
    <row r="29" spans="2:24" s="305" customFormat="1" ht="12.6" customHeight="1">
      <c r="B29" s="305" t="s">
        <v>1133</v>
      </c>
      <c r="G29" s="3352"/>
      <c r="H29" s="3353"/>
      <c r="J29" s="3352"/>
      <c r="K29" s="3353"/>
      <c r="L29" s="1577"/>
      <c r="M29" s="3352"/>
      <c r="N29" s="3353"/>
      <c r="P29" s="3352"/>
      <c r="Q29" s="3353"/>
      <c r="S29" s="3352"/>
      <c r="T29" s="3353"/>
      <c r="V29" s="3354"/>
      <c r="W29" s="3355"/>
      <c r="X29" s="3356"/>
    </row>
    <row r="30" spans="2:24" s="305" customFormat="1" ht="12.6" customHeight="1">
      <c r="B30" s="305" t="s">
        <v>1134</v>
      </c>
      <c r="G30" s="3357">
        <v>1442939</v>
      </c>
      <c r="H30" s="3358"/>
      <c r="J30" s="3357"/>
      <c r="K30" s="3358"/>
      <c r="L30" s="1577"/>
      <c r="M30" s="3357"/>
      <c r="N30" s="3358"/>
      <c r="P30" s="3357">
        <v>1442939</v>
      </c>
      <c r="Q30" s="3358"/>
      <c r="S30" s="3357"/>
      <c r="T30" s="3358"/>
      <c r="V30" s="3354"/>
      <c r="W30" s="3355"/>
      <c r="X30" s="3356"/>
    </row>
    <row r="31" spans="2:24" s="305" customFormat="1" ht="12.6" customHeight="1">
      <c r="B31" s="305" t="s">
        <v>2797</v>
      </c>
      <c r="G31" s="3357"/>
      <c r="H31" s="3358"/>
      <c r="J31" s="3357"/>
      <c r="K31" s="3358"/>
      <c r="L31" s="1577"/>
      <c r="M31" s="3357"/>
      <c r="N31" s="3358"/>
      <c r="P31" s="3357"/>
      <c r="Q31" s="3358"/>
      <c r="S31" s="3357"/>
      <c r="T31" s="3358"/>
      <c r="V31" s="3354"/>
      <c r="W31" s="3355"/>
      <c r="X31" s="3356"/>
    </row>
    <row r="32" spans="2:24" ht="12.6" customHeight="1" thickBot="1">
      <c r="B32" s="305" t="s">
        <v>2796</v>
      </c>
      <c r="G32" s="3362">
        <v>69465</v>
      </c>
      <c r="H32" s="3363"/>
      <c r="I32" s="305"/>
      <c r="J32" s="3362"/>
      <c r="K32" s="3363"/>
      <c r="L32" s="1577"/>
      <c r="M32" s="3362"/>
      <c r="N32" s="3363"/>
      <c r="O32" s="305"/>
      <c r="P32" s="3362">
        <v>69465</v>
      </c>
      <c r="Q32" s="3363"/>
      <c r="R32" s="305"/>
      <c r="S32" s="3362"/>
      <c r="T32" s="3363"/>
      <c r="V32" s="3354"/>
      <c r="W32" s="3364"/>
      <c r="X32" s="3365"/>
    </row>
    <row r="33" spans="1:24" s="305" customFormat="1" ht="12.6" customHeight="1" thickTop="1">
      <c r="C33" s="1771"/>
      <c r="D33" s="1771"/>
      <c r="E33" s="1581"/>
      <c r="F33" s="361" t="s">
        <v>193</v>
      </c>
      <c r="G33" s="1766">
        <f>SUM(G29:H32)</f>
        <v>1512404</v>
      </c>
      <c r="H33" s="1767"/>
      <c r="J33" s="1766">
        <f>SUM(J29:K32)</f>
        <v>0</v>
      </c>
      <c r="K33" s="1767"/>
      <c r="L33" s="1577"/>
      <c r="M33" s="1766">
        <f>SUM(M29:N32)</f>
        <v>0</v>
      </c>
      <c r="N33" s="1767"/>
      <c r="P33" s="1766">
        <f>SUM(P29:Q32)</f>
        <v>1512404</v>
      </c>
      <c r="Q33" s="1767"/>
      <c r="S33" s="1766">
        <f>SUM(S29:T32)</f>
        <v>0</v>
      </c>
      <c r="T33" s="1767"/>
      <c r="V33" s="3366">
        <f>SUM(V29:V32)</f>
        <v>0</v>
      </c>
      <c r="W33" s="3367"/>
      <c r="X33" s="3368"/>
    </row>
    <row r="34" spans="1:24" s="305" customFormat="1" ht="12" customHeight="1">
      <c r="B34" s="307" t="s">
        <v>2358</v>
      </c>
      <c r="D34" s="1770" t="s">
        <v>3760</v>
      </c>
      <c r="E34" s="1770"/>
      <c r="F34" s="1044">
        <f>SUM(F35:F37)</f>
        <v>0.13999964134842746</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2359</v>
      </c>
      <c r="D35" s="1046">
        <f>'DCA Underwriting Assumptions'!$R$74</f>
        <v>0.06</v>
      </c>
      <c r="E35" s="1048">
        <f>D35*(G27+G33)</f>
        <v>93684.239999999991</v>
      </c>
      <c r="F35" s="1045">
        <f>IF(($G$27+$G$33)=0,0,G35/($G$27+$G$33))</f>
        <v>5.999984629218319E-2</v>
      </c>
      <c r="G35" s="3352">
        <v>93684</v>
      </c>
      <c r="H35" s="3353"/>
      <c r="I35" s="324"/>
      <c r="J35" s="3352"/>
      <c r="K35" s="3353"/>
      <c r="L35" s="1577"/>
      <c r="M35" s="3352"/>
      <c r="N35" s="3353"/>
      <c r="P35" s="3352">
        <v>93684</v>
      </c>
      <c r="Q35" s="3353"/>
      <c r="S35" s="3352"/>
      <c r="T35" s="3353"/>
      <c r="V35" s="3354"/>
      <c r="W35" s="3355"/>
      <c r="X35" s="3356"/>
    </row>
    <row r="36" spans="1:24" s="305" customFormat="1" ht="12.6" customHeight="1">
      <c r="B36" s="305" t="s">
        <v>2753</v>
      </c>
      <c r="D36" s="1047">
        <f>'DCA Underwriting Assumptions'!$R$75</f>
        <v>0.02</v>
      </c>
      <c r="E36" s="1048">
        <f>D36*(G27+G33)</f>
        <v>31228.080000000002</v>
      </c>
      <c r="F36" s="1045">
        <f>IF(($G$27+$G$33)=0,0,G36/($G$27+$G$33))</f>
        <v>1.9999948764061064E-2</v>
      </c>
      <c r="G36" s="3357">
        <v>31228</v>
      </c>
      <c r="H36" s="3358"/>
      <c r="I36" s="324"/>
      <c r="J36" s="3357"/>
      <c r="K36" s="3358"/>
      <c r="L36" s="1577"/>
      <c r="M36" s="3357"/>
      <c r="N36" s="3358"/>
      <c r="P36" s="3357">
        <v>31228</v>
      </c>
      <c r="Q36" s="3358"/>
      <c r="S36" s="3357"/>
      <c r="T36" s="3358"/>
      <c r="V36" s="3354"/>
      <c r="W36" s="3355"/>
      <c r="X36" s="3356"/>
    </row>
    <row r="37" spans="1:24" s="305" customFormat="1" ht="12.6" customHeight="1" thickBot="1">
      <c r="B37" s="305" t="s">
        <v>2754</v>
      </c>
      <c r="D37" s="1051">
        <f>'DCA Underwriting Assumptions'!$R$76</f>
        <v>0.06</v>
      </c>
      <c r="E37" s="1052">
        <f>D37*(G27+G33)</f>
        <v>93684.239999999991</v>
      </c>
      <c r="F37" s="1367">
        <f>IF(($G$27+$G$33)=0,0,G37/($G$27+$G$33))</f>
        <v>5.999984629218319E-2</v>
      </c>
      <c r="G37" s="3362">
        <v>93684</v>
      </c>
      <c r="H37" s="3363"/>
      <c r="I37" s="324"/>
      <c r="J37" s="3362"/>
      <c r="K37" s="3363"/>
      <c r="L37" s="1577"/>
      <c r="M37" s="3362"/>
      <c r="N37" s="3363"/>
      <c r="P37" s="3362">
        <v>93684</v>
      </c>
      <c r="Q37" s="3363"/>
      <c r="S37" s="3362"/>
      <c r="T37" s="3363"/>
      <c r="V37" s="3354"/>
      <c r="W37" s="3364"/>
      <c r="X37" s="3365"/>
    </row>
    <row r="38" spans="1:24" s="305" customFormat="1" ht="12.6" customHeight="1" thickTop="1">
      <c r="B38" s="179" t="s">
        <v>3761</v>
      </c>
      <c r="D38" s="1049">
        <f>SUM(D35:D37)</f>
        <v>0.14000000000000001</v>
      </c>
      <c r="E38" s="1050">
        <f>SUM(E35:E37)</f>
        <v>218596.56</v>
      </c>
      <c r="F38" s="1031" t="s">
        <v>193</v>
      </c>
      <c r="G38" s="1766">
        <f>SUM(G35:H37)</f>
        <v>218596</v>
      </c>
      <c r="H38" s="1767"/>
      <c r="J38" s="1766">
        <f>SUM(J35:K37)</f>
        <v>0</v>
      </c>
      <c r="K38" s="1767"/>
      <c r="L38" s="363"/>
      <c r="M38" s="1766">
        <f>SUM(M35:N37)</f>
        <v>0</v>
      </c>
      <c r="N38" s="1767"/>
      <c r="P38" s="1766">
        <f>SUM(P35:Q37)</f>
        <v>218596</v>
      </c>
      <c r="Q38" s="1767"/>
      <c r="S38" s="1766">
        <f>SUM(S35:T37)</f>
        <v>0</v>
      </c>
      <c r="T38" s="1767"/>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748</v>
      </c>
      <c r="C41" s="3359" t="s">
        <v>3740</v>
      </c>
      <c r="D41" s="3371"/>
      <c r="E41" s="3371"/>
      <c r="F41" s="3372"/>
      <c r="G41" s="3373"/>
      <c r="H41" s="3374"/>
      <c r="I41" s="305"/>
      <c r="J41" s="3373"/>
      <c r="K41" s="3374"/>
      <c r="L41" s="1577"/>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2762</v>
      </c>
      <c r="C43" s="530"/>
      <c r="E43" s="1776" t="s">
        <v>2761</v>
      </c>
      <c r="F43" s="1579">
        <f>B44/'Part VI-Revenues &amp; Expenses'!$O$60</f>
        <v>37083.333333333336</v>
      </c>
      <c r="G43" s="1580" t="s">
        <v>2788</v>
      </c>
      <c r="H43" s="1564"/>
      <c r="I43" s="1564"/>
      <c r="J43" s="1778">
        <f>B44/'Part VI-Revenues &amp; Expenses'!$O$62</f>
        <v>37083.333333333336</v>
      </c>
      <c r="K43" s="1778"/>
      <c r="L43" s="1564"/>
      <c r="M43" s="1779" t="s">
        <v>1413</v>
      </c>
      <c r="N43" s="1779"/>
      <c r="O43" s="1564"/>
      <c r="P43" s="1778">
        <f>B44/'Part I-Project Information'!$P$71</f>
        <v>44.295135000622125</v>
      </c>
      <c r="Q43" s="1778"/>
      <c r="R43" s="1564"/>
      <c r="S43" s="1780" t="s">
        <v>2795</v>
      </c>
      <c r="T43" s="1781"/>
      <c r="V43" s="1176"/>
      <c r="W43" s="3377"/>
      <c r="X43" s="3378"/>
    </row>
    <row r="44" spans="1:24" s="305" customFormat="1" ht="12.6" customHeight="1">
      <c r="B44" s="1772">
        <f>G27+G33+G38+G41</f>
        <v>1780000</v>
      </c>
      <c r="C44" s="1773"/>
      <c r="E44" s="1777"/>
      <c r="F44" s="1578">
        <f>B44/'Part VI-Revenues &amp; Expenses'!$O$117</f>
        <v>45.309914725722287</v>
      </c>
      <c r="G44" s="528" t="s">
        <v>2789</v>
      </c>
      <c r="H44" s="1574"/>
      <c r="I44" s="1574"/>
      <c r="J44" s="1774">
        <f>B44/'Part VI-Revenues &amp; Expenses'!$O$119</f>
        <v>45.309914725722287</v>
      </c>
      <c r="K44" s="1774"/>
      <c r="L44" s="1574"/>
      <c r="M44" s="1775" t="s">
        <v>2794</v>
      </c>
      <c r="N44" s="1775"/>
      <c r="O44" s="1574"/>
      <c r="P44" s="1574"/>
      <c r="Q44" s="1574"/>
      <c r="R44" s="1574"/>
      <c r="S44" s="1574"/>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1135</v>
      </c>
      <c r="F46" s="1366" t="s">
        <v>4244</v>
      </c>
      <c r="J46" s="363"/>
      <c r="K46" s="360"/>
      <c r="M46" s="363"/>
      <c r="N46" s="360"/>
      <c r="O46" s="362" t="str">
        <f>B46</f>
        <v>CONSTRUCTION CONTINGENCY</v>
      </c>
      <c r="P46" s="363"/>
      <c r="Q46" s="360"/>
      <c r="S46" s="363"/>
      <c r="T46" s="360"/>
      <c r="V46" s="1176"/>
      <c r="W46" s="305" t="str">
        <f>B46</f>
        <v>CONSTRUCTION CONTINGENCY</v>
      </c>
    </row>
    <row r="47" spans="1:24" ht="12.6" customHeight="1">
      <c r="B47" s="305" t="s">
        <v>1976</v>
      </c>
      <c r="D47" s="545" t="s">
        <v>4243</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178000</v>
      </c>
      <c r="F47" s="365">
        <f>G47/B44</f>
        <v>9.0589887640449437E-2</v>
      </c>
      <c r="G47" s="3373">
        <v>161250</v>
      </c>
      <c r="H47" s="3374"/>
      <c r="I47" s="305"/>
      <c r="J47" s="3373"/>
      <c r="K47" s="3374"/>
      <c r="L47" s="1577"/>
      <c r="M47" s="3373"/>
      <c r="N47" s="3374"/>
      <c r="O47" s="305"/>
      <c r="P47" s="3373"/>
      <c r="Q47" s="3374"/>
      <c r="R47" s="305"/>
      <c r="S47" s="3373">
        <v>161250</v>
      </c>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621</v>
      </c>
      <c r="B49" s="437" t="s">
        <v>2862</v>
      </c>
      <c r="H49" s="1566"/>
      <c r="I49" s="1566"/>
      <c r="J49" s="1756" t="s">
        <v>273</v>
      </c>
      <c r="K49" s="1757"/>
      <c r="L49" s="360"/>
      <c r="M49" s="1760" t="s">
        <v>493</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2699</v>
      </c>
      <c r="X50" s="1829"/>
    </row>
    <row r="51" spans="1:24" s="305" customFormat="1" ht="12" customHeight="1">
      <c r="B51" s="307" t="s">
        <v>729</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52"/>
      <c r="H52" s="3353"/>
      <c r="J52" s="3352"/>
      <c r="K52" s="3353"/>
      <c r="L52" s="1577"/>
      <c r="M52" s="3352"/>
      <c r="N52" s="3353"/>
      <c r="P52" s="3352"/>
      <c r="Q52" s="3353"/>
      <c r="S52" s="3352"/>
      <c r="T52" s="3353"/>
      <c r="V52" s="3381"/>
      <c r="W52" s="3355"/>
      <c r="X52" s="3356"/>
    </row>
    <row r="53" spans="1:24" s="305" customFormat="1" ht="12" customHeight="1">
      <c r="B53" s="305" t="s">
        <v>3763</v>
      </c>
      <c r="G53" s="3357"/>
      <c r="H53" s="3358"/>
      <c r="J53" s="3357"/>
      <c r="K53" s="3358"/>
      <c r="L53" s="1577"/>
      <c r="M53" s="3357"/>
      <c r="N53" s="3358"/>
      <c r="P53" s="3357"/>
      <c r="Q53" s="3358"/>
      <c r="S53" s="3357"/>
      <c r="T53" s="3358"/>
      <c r="V53" s="3381"/>
      <c r="W53" s="3355"/>
      <c r="X53" s="3356"/>
    </row>
    <row r="54" spans="1:24" s="305" customFormat="1" ht="12" customHeight="1">
      <c r="B54" s="305" t="s">
        <v>2361</v>
      </c>
      <c r="G54" s="3357"/>
      <c r="H54" s="3358"/>
      <c r="J54" s="3357"/>
      <c r="K54" s="3358"/>
      <c r="L54" s="1577"/>
      <c r="M54" s="3357"/>
      <c r="N54" s="3358"/>
      <c r="P54" s="3357"/>
      <c r="Q54" s="3358"/>
      <c r="S54" s="3357"/>
      <c r="T54" s="3358"/>
      <c r="V54" s="3381"/>
      <c r="W54" s="3355"/>
      <c r="X54" s="3356"/>
    </row>
    <row r="55" spans="1:24" s="305" customFormat="1" ht="12" customHeight="1">
      <c r="B55" s="305" t="s">
        <v>2362</v>
      </c>
      <c r="G55" s="3357"/>
      <c r="H55" s="3358"/>
      <c r="J55" s="3357"/>
      <c r="K55" s="3358"/>
      <c r="L55" s="1577"/>
      <c r="M55" s="3357"/>
      <c r="N55" s="3358"/>
      <c r="P55" s="3357"/>
      <c r="Q55" s="3358"/>
      <c r="S55" s="3357"/>
      <c r="T55" s="3358"/>
      <c r="V55" s="3381"/>
      <c r="W55" s="3355"/>
      <c r="X55" s="3356"/>
    </row>
    <row r="56" spans="1:24" s="305" customFormat="1" ht="12" customHeight="1">
      <c r="B56" s="305" t="s">
        <v>2363</v>
      </c>
      <c r="G56" s="3357">
        <v>8000</v>
      </c>
      <c r="H56" s="3358"/>
      <c r="J56" s="3357"/>
      <c r="K56" s="3358"/>
      <c r="L56" s="1577"/>
      <c r="M56" s="3357"/>
      <c r="N56" s="3358"/>
      <c r="P56" s="3357">
        <v>8000</v>
      </c>
      <c r="Q56" s="3358"/>
      <c r="S56" s="3357"/>
      <c r="T56" s="3358"/>
      <c r="V56" s="3381"/>
      <c r="W56" s="3355"/>
      <c r="X56" s="3356"/>
    </row>
    <row r="57" spans="1:24" s="305" customFormat="1" ht="12" customHeight="1">
      <c r="B57" s="305" t="s">
        <v>2703</v>
      </c>
      <c r="G57" s="3357">
        <v>16000</v>
      </c>
      <c r="H57" s="3358"/>
      <c r="J57" s="3357"/>
      <c r="K57" s="3358"/>
      <c r="L57" s="1577"/>
      <c r="M57" s="3357"/>
      <c r="N57" s="3358"/>
      <c r="P57" s="3357">
        <v>16000</v>
      </c>
      <c r="Q57" s="3358"/>
      <c r="S57" s="3357"/>
      <c r="T57" s="3358"/>
      <c r="V57" s="3381"/>
      <c r="W57" s="3355"/>
      <c r="X57" s="3356"/>
    </row>
    <row r="58" spans="1:24" s="305" customFormat="1" ht="12" customHeight="1">
      <c r="B58" s="305" t="s">
        <v>730</v>
      </c>
      <c r="G58" s="3357">
        <v>6000</v>
      </c>
      <c r="H58" s="3358"/>
      <c r="J58" s="3357"/>
      <c r="K58" s="3358"/>
      <c r="L58" s="1577"/>
      <c r="M58" s="3357"/>
      <c r="N58" s="3358"/>
      <c r="P58" s="3357">
        <v>6000</v>
      </c>
      <c r="Q58" s="3358"/>
      <c r="S58" s="3357"/>
      <c r="T58" s="3358"/>
      <c r="V58" s="3381"/>
      <c r="W58" s="3355"/>
      <c r="X58" s="3356"/>
    </row>
    <row r="59" spans="1:24" s="305" customFormat="1" ht="12" customHeight="1">
      <c r="B59" s="305" t="s">
        <v>2364</v>
      </c>
      <c r="G59" s="3357">
        <v>5000</v>
      </c>
      <c r="H59" s="3358"/>
      <c r="J59" s="3357"/>
      <c r="K59" s="3358"/>
      <c r="L59" s="1577"/>
      <c r="M59" s="3357"/>
      <c r="N59" s="3358"/>
      <c r="P59" s="3357">
        <v>5000</v>
      </c>
      <c r="Q59" s="3358"/>
      <c r="S59" s="3357"/>
      <c r="T59" s="3358"/>
      <c r="V59" s="3381"/>
      <c r="W59" s="3355"/>
      <c r="X59" s="3356"/>
    </row>
    <row r="60" spans="1:24" s="305" customFormat="1" ht="12" customHeight="1">
      <c r="B60" s="305" t="s">
        <v>1287</v>
      </c>
      <c r="G60" s="3357">
        <v>10000</v>
      </c>
      <c r="H60" s="3358"/>
      <c r="J60" s="3357"/>
      <c r="K60" s="3358"/>
      <c r="L60" s="1577"/>
      <c r="M60" s="3357"/>
      <c r="N60" s="3358"/>
      <c r="P60" s="3357">
        <v>10000</v>
      </c>
      <c r="Q60" s="3358"/>
      <c r="S60" s="3357"/>
      <c r="T60" s="3358"/>
      <c r="V60" s="3381"/>
      <c r="W60" s="3355"/>
      <c r="X60" s="3356"/>
    </row>
    <row r="61" spans="1:24" s="305" customFormat="1" ht="12" customHeight="1">
      <c r="B61" s="367" t="s">
        <v>1162</v>
      </c>
      <c r="D61" s="365"/>
      <c r="E61" s="365"/>
      <c r="F61" s="366"/>
      <c r="G61" s="3357"/>
      <c r="H61" s="3358"/>
      <c r="I61" s="324"/>
      <c r="J61" s="3357"/>
      <c r="K61" s="3358"/>
      <c r="L61" s="1577"/>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748</v>
      </c>
      <c r="C62" s="3382" t="s">
        <v>3740</v>
      </c>
      <c r="D62" s="3382"/>
      <c r="E62" s="3382"/>
      <c r="F62" s="3383"/>
      <c r="G62" s="3357"/>
      <c r="H62" s="3358"/>
      <c r="J62" s="3357"/>
      <c r="K62" s="3358"/>
      <c r="L62" s="1577"/>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748</v>
      </c>
      <c r="C63" s="3384" t="s">
        <v>3740</v>
      </c>
      <c r="D63" s="3384"/>
      <c r="E63" s="3384"/>
      <c r="F63" s="3385"/>
      <c r="G63" s="3386"/>
      <c r="H63" s="3387"/>
      <c r="J63" s="3386"/>
      <c r="K63" s="3387"/>
      <c r="L63" s="1577"/>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766">
        <f>SUM(G52:H63)</f>
        <v>45000</v>
      </c>
      <c r="H64" s="1767"/>
      <c r="J64" s="1766">
        <f>SUM(J52:K63)</f>
        <v>0</v>
      </c>
      <c r="K64" s="1767"/>
      <c r="L64" s="363"/>
      <c r="M64" s="1766">
        <f>SUM(M52:N63)</f>
        <v>0</v>
      </c>
      <c r="N64" s="1767"/>
      <c r="P64" s="1766">
        <f>SUM(P52:Q63)</f>
        <v>45000</v>
      </c>
      <c r="Q64" s="1767"/>
      <c r="S64" s="1766">
        <f>SUM(S52:T63)</f>
        <v>0</v>
      </c>
      <c r="T64" s="1767"/>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80640</v>
      </c>
      <c r="H66" s="3353"/>
      <c r="J66" s="3352"/>
      <c r="K66" s="3353"/>
      <c r="L66" s="1577"/>
      <c r="M66" s="3352"/>
      <c r="N66" s="3353"/>
      <c r="P66" s="3352">
        <v>80640</v>
      </c>
      <c r="Q66" s="3353"/>
      <c r="S66" s="3352"/>
      <c r="T66" s="3353"/>
      <c r="V66" s="3354"/>
      <c r="W66" s="3355"/>
      <c r="X66" s="3356"/>
    </row>
    <row r="67" spans="1:24" s="305" customFormat="1" ht="12" customHeight="1">
      <c r="B67" s="305" t="s">
        <v>482</v>
      </c>
      <c r="G67" s="3357">
        <v>20160</v>
      </c>
      <c r="H67" s="3358"/>
      <c r="J67" s="3357"/>
      <c r="K67" s="3358"/>
      <c r="L67" s="1577"/>
      <c r="M67" s="3357"/>
      <c r="N67" s="3358"/>
      <c r="P67" s="3357">
        <v>20160</v>
      </c>
      <c r="Q67" s="3358"/>
      <c r="S67" s="3357"/>
      <c r="T67" s="3358"/>
      <c r="V67" s="3354"/>
      <c r="W67" s="3355"/>
      <c r="X67" s="3356"/>
    </row>
    <row r="68" spans="1:24" s="305" customFormat="1" ht="12" customHeight="1">
      <c r="B68" s="305" t="s">
        <v>1136</v>
      </c>
      <c r="D68" s="318" t="s">
        <v>3880</v>
      </c>
      <c r="E68" s="1167">
        <f>'DCA Underwriting Assumptions'!R77</f>
        <v>20000</v>
      </c>
      <c r="F68" s="1168" t="str">
        <f>IF(G68&gt;E68,"CHECK!!!","")</f>
        <v/>
      </c>
      <c r="G68" s="3357"/>
      <c r="H68" s="3358"/>
      <c r="J68" s="3357"/>
      <c r="K68" s="3358"/>
      <c r="L68" s="1577"/>
      <c r="M68" s="3357"/>
      <c r="N68" s="3358"/>
      <c r="P68" s="3357"/>
      <c r="Q68" s="3358"/>
      <c r="S68" s="3357"/>
      <c r="T68" s="3358"/>
      <c r="V68" s="3354"/>
      <c r="W68" s="3355"/>
      <c r="X68" s="3356"/>
    </row>
    <row r="69" spans="1:24" s="305" customFormat="1" ht="12" customHeight="1">
      <c r="B69" s="305" t="s">
        <v>1137</v>
      </c>
      <c r="G69" s="3357"/>
      <c r="H69" s="3358"/>
      <c r="J69" s="3357"/>
      <c r="K69" s="3358"/>
      <c r="L69" s="1577"/>
      <c r="M69" s="3357"/>
      <c r="N69" s="3358"/>
      <c r="P69" s="3357"/>
      <c r="Q69" s="3358"/>
      <c r="S69" s="3357"/>
      <c r="T69" s="3358"/>
      <c r="V69" s="3354"/>
      <c r="W69" s="3355"/>
      <c r="X69" s="3356"/>
    </row>
    <row r="70" spans="1:24" s="305" customFormat="1" ht="12" customHeight="1">
      <c r="B70" s="305" t="s">
        <v>1138</v>
      </c>
      <c r="G70" s="3357">
        <v>7000</v>
      </c>
      <c r="H70" s="3358"/>
      <c r="J70" s="3357"/>
      <c r="K70" s="3358"/>
      <c r="L70" s="1577"/>
      <c r="M70" s="3357"/>
      <c r="N70" s="3358"/>
      <c r="P70" s="3357">
        <v>7000</v>
      </c>
      <c r="Q70" s="3358"/>
      <c r="S70" s="3357"/>
      <c r="T70" s="3358"/>
      <c r="V70" s="3354"/>
      <c r="W70" s="3355"/>
      <c r="X70" s="3356"/>
    </row>
    <row r="71" spans="1:24" s="305" customFormat="1" ht="12" customHeight="1">
      <c r="B71" s="305" t="s">
        <v>1139</v>
      </c>
      <c r="G71" s="3357"/>
      <c r="H71" s="3358"/>
      <c r="J71" s="3357"/>
      <c r="K71" s="3358"/>
      <c r="L71" s="1577"/>
      <c r="M71" s="3357"/>
      <c r="N71" s="3358"/>
      <c r="P71" s="3357"/>
      <c r="Q71" s="3358"/>
      <c r="S71" s="3357"/>
      <c r="T71" s="3358"/>
      <c r="V71" s="3354"/>
      <c r="W71" s="3355"/>
      <c r="X71" s="3356"/>
    </row>
    <row r="72" spans="1:24" s="305" customFormat="1" ht="12" customHeight="1">
      <c r="B72" s="305" t="s">
        <v>483</v>
      </c>
      <c r="G72" s="3357">
        <v>1000</v>
      </c>
      <c r="H72" s="3358"/>
      <c r="J72" s="3357"/>
      <c r="K72" s="3358"/>
      <c r="L72" s="1577"/>
      <c r="M72" s="3357"/>
      <c r="N72" s="3358"/>
      <c r="P72" s="3357">
        <v>1000</v>
      </c>
      <c r="Q72" s="3358"/>
      <c r="S72" s="3357"/>
      <c r="T72" s="3358"/>
      <c r="V72" s="3354"/>
      <c r="W72" s="3355"/>
      <c r="X72" s="3356"/>
    </row>
    <row r="73" spans="1:24" s="305" customFormat="1" ht="12" customHeight="1">
      <c r="B73" s="305" t="s">
        <v>484</v>
      </c>
      <c r="G73" s="3357">
        <v>90000</v>
      </c>
      <c r="H73" s="3358"/>
      <c r="J73" s="3357"/>
      <c r="K73" s="3358"/>
      <c r="L73" s="1577"/>
      <c r="M73" s="3357"/>
      <c r="N73" s="3358"/>
      <c r="P73" s="3357">
        <v>50000</v>
      </c>
      <c r="Q73" s="3358"/>
      <c r="S73" s="3357">
        <v>40000</v>
      </c>
      <c r="T73" s="3358"/>
      <c r="V73" s="3354"/>
      <c r="W73" s="3355"/>
      <c r="X73" s="3356"/>
    </row>
    <row r="74" spans="1:24" s="305" customFormat="1" ht="12" customHeight="1">
      <c r="B74" s="305" t="s">
        <v>2064</v>
      </c>
      <c r="G74" s="3357">
        <v>12000</v>
      </c>
      <c r="H74" s="3358"/>
      <c r="J74" s="3357"/>
      <c r="K74" s="3358"/>
      <c r="L74" s="1577"/>
      <c r="M74" s="3357"/>
      <c r="N74" s="3358"/>
      <c r="P74" s="3357">
        <v>12000</v>
      </c>
      <c r="Q74" s="3358"/>
      <c r="S74" s="3357"/>
      <c r="T74" s="3358"/>
      <c r="V74" s="3354"/>
      <c r="W74" s="3355"/>
      <c r="X74" s="3356"/>
    </row>
    <row r="75" spans="1:24" s="305" customFormat="1" ht="12" customHeight="1">
      <c r="B75" s="305" t="s">
        <v>1288</v>
      </c>
      <c r="G75" s="3357">
        <v>12000</v>
      </c>
      <c r="H75" s="3358"/>
      <c r="J75" s="3357"/>
      <c r="K75" s="3358"/>
      <c r="L75" s="1577"/>
      <c r="M75" s="3357"/>
      <c r="N75" s="3358"/>
      <c r="P75" s="3357">
        <v>12000</v>
      </c>
      <c r="Q75" s="3358"/>
      <c r="S75" s="3357"/>
      <c r="T75" s="3358"/>
      <c r="V75" s="3354"/>
      <c r="W75" s="3355"/>
      <c r="X75" s="3356"/>
    </row>
    <row r="76" spans="1:24" s="305" customFormat="1" ht="12" customHeight="1" thickBot="1">
      <c r="A76" s="387" t="str">
        <f>IF(AND(G76&gt;0,OR(C76="",C76="&lt;Enter detailed description here; use Comments section if needed&gt;")),"X","")</f>
        <v/>
      </c>
      <c r="B76" s="305" t="s">
        <v>748</v>
      </c>
      <c r="C76" s="3359" t="s">
        <v>4602</v>
      </c>
      <c r="D76" s="3359"/>
      <c r="E76" s="3359"/>
      <c r="F76" s="3360"/>
      <c r="G76" s="3386">
        <v>50000</v>
      </c>
      <c r="H76" s="3387"/>
      <c r="J76" s="3386"/>
      <c r="K76" s="3387"/>
      <c r="L76" s="1577"/>
      <c r="M76" s="3386"/>
      <c r="N76" s="3387"/>
      <c r="P76" s="3386">
        <v>50000</v>
      </c>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766">
        <f>SUM(G66:H76)</f>
        <v>272800</v>
      </c>
      <c r="H77" s="1767"/>
      <c r="J77" s="1766">
        <f>SUM(J66:K76)</f>
        <v>0</v>
      </c>
      <c r="K77" s="1767"/>
      <c r="L77" s="363"/>
      <c r="M77" s="1766">
        <f>SUM(M66:N76)</f>
        <v>0</v>
      </c>
      <c r="N77" s="1767"/>
      <c r="P77" s="1766">
        <f>SUM(P66:Q76)</f>
        <v>232800</v>
      </c>
      <c r="Q77" s="1767"/>
      <c r="S77" s="1766">
        <f>SUM(S66:T76)</f>
        <v>40000</v>
      </c>
      <c r="T77" s="1767"/>
      <c r="V77" s="3366">
        <f>SUM(V66:V76)</f>
        <v>0</v>
      </c>
      <c r="W77" s="3367"/>
      <c r="X77" s="3368"/>
    </row>
    <row r="78" spans="1:24" ht="12" customHeight="1">
      <c r="A78" s="305"/>
      <c r="B78" s="307" t="s">
        <v>1280</v>
      </c>
      <c r="C78" s="305"/>
      <c r="D78" s="969" t="s">
        <v>3764</v>
      </c>
      <c r="E78" s="1054">
        <f>G83/'Part VI-Revenues &amp; Expenses'!$O$62</f>
        <v>166.66666666666666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1281</v>
      </c>
      <c r="G79" s="3352">
        <v>8000</v>
      </c>
      <c r="H79" s="3353"/>
      <c r="J79" s="3352"/>
      <c r="K79" s="3353"/>
      <c r="L79" s="1577"/>
      <c r="M79" s="3352"/>
      <c r="N79" s="3353"/>
      <c r="P79" s="3352">
        <v>8000</v>
      </c>
      <c r="Q79" s="3353"/>
      <c r="S79" s="3352"/>
      <c r="T79" s="3353"/>
      <c r="V79" s="3354"/>
      <c r="W79" s="3355"/>
      <c r="X79" s="3356"/>
    </row>
    <row r="80" spans="1:24" s="305" customFormat="1" ht="12" customHeight="1">
      <c r="B80" s="305" t="s">
        <v>1282</v>
      </c>
      <c r="G80" s="3357"/>
      <c r="H80" s="3358"/>
      <c r="J80" s="3357"/>
      <c r="K80" s="3358"/>
      <c r="L80" s="1577"/>
      <c r="M80" s="3357"/>
      <c r="N80" s="3358"/>
      <c r="P80" s="3357"/>
      <c r="Q80" s="3358"/>
      <c r="S80" s="3357"/>
      <c r="T80" s="3358"/>
      <c r="V80" s="3354"/>
      <c r="W80" s="3355"/>
      <c r="X80" s="3356"/>
    </row>
    <row r="81" spans="1:24" s="305" customFormat="1" ht="12" customHeight="1">
      <c r="B81" s="305" t="s">
        <v>1283</v>
      </c>
      <c r="D81" s="369" t="s">
        <v>1414</v>
      </c>
      <c r="E81" s="3389"/>
      <c r="G81" s="3357"/>
      <c r="H81" s="3358"/>
      <c r="I81" s="324"/>
      <c r="J81" s="3357"/>
      <c r="K81" s="3358"/>
      <c r="L81" s="1577"/>
      <c r="M81" s="3357"/>
      <c r="N81" s="3358"/>
      <c r="P81" s="3357"/>
      <c r="Q81" s="3358"/>
      <c r="S81" s="3357"/>
      <c r="T81" s="3358"/>
      <c r="V81" s="3354"/>
      <c r="W81" s="3355"/>
      <c r="X81" s="3356"/>
    </row>
    <row r="82" spans="1:24" s="305" customFormat="1" ht="12" customHeight="1" thickBot="1">
      <c r="B82" s="305" t="s">
        <v>1284</v>
      </c>
      <c r="D82" s="369" t="s">
        <v>1414</v>
      </c>
      <c r="E82" s="3390"/>
      <c r="G82" s="3386"/>
      <c r="H82" s="3387"/>
      <c r="I82" s="324"/>
      <c r="J82" s="3386"/>
      <c r="K82" s="3387"/>
      <c r="L82" s="1577"/>
      <c r="M82" s="3386"/>
      <c r="N82" s="3387"/>
      <c r="P82" s="3386"/>
      <c r="Q82" s="3387"/>
      <c r="S82" s="3386"/>
      <c r="T82" s="3387"/>
      <c r="V82" s="3354"/>
      <c r="W82" s="3364"/>
      <c r="X82" s="3365"/>
    </row>
    <row r="83" spans="1:24" s="305" customFormat="1" ht="12" customHeight="1" thickTop="1">
      <c r="F83" s="361" t="s">
        <v>193</v>
      </c>
      <c r="G83" s="1766">
        <f>SUM(G79:H82)</f>
        <v>8000</v>
      </c>
      <c r="H83" s="1767"/>
      <c r="J83" s="1766">
        <f>SUM(J79:K82)</f>
        <v>0</v>
      </c>
      <c r="K83" s="1767"/>
      <c r="L83" s="363"/>
      <c r="M83" s="1766">
        <f>SUM(M79:N82)</f>
        <v>0</v>
      </c>
      <c r="N83" s="1767"/>
      <c r="P83" s="1766">
        <f>SUM(P79:Q82)</f>
        <v>8000</v>
      </c>
      <c r="Q83" s="1767"/>
      <c r="S83" s="1766">
        <f>SUM(S79:T82)</f>
        <v>0</v>
      </c>
      <c r="T83" s="1767"/>
      <c r="V83" s="3366">
        <f>SUM(V79:V82)</f>
        <v>0</v>
      </c>
      <c r="W83" s="3367"/>
      <c r="X83" s="3368"/>
    </row>
    <row r="84" spans="1:24" s="305" customFormat="1" ht="12" customHeight="1">
      <c r="B84" s="307" t="s">
        <v>731</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1285</v>
      </c>
      <c r="G85" s="3352"/>
      <c r="H85" s="3353"/>
      <c r="J85" s="1782"/>
      <c r="K85" s="1782"/>
      <c r="L85" s="1577"/>
      <c r="M85" s="1782"/>
      <c r="N85" s="1782"/>
      <c r="P85" s="1782"/>
      <c r="Q85" s="1782"/>
      <c r="S85" s="3352"/>
      <c r="T85" s="3353"/>
      <c r="V85" s="3354"/>
      <c r="W85" s="3355"/>
      <c r="X85" s="3356"/>
    </row>
    <row r="86" spans="1:24" s="305" customFormat="1" ht="12" customHeight="1">
      <c r="B86" s="305" t="s">
        <v>1286</v>
      </c>
      <c r="G86" s="3357"/>
      <c r="H86" s="3358"/>
      <c r="J86" s="1782"/>
      <c r="K86" s="1782"/>
      <c r="L86" s="1577"/>
      <c r="M86" s="1782"/>
      <c r="N86" s="1782"/>
      <c r="P86" s="1782"/>
      <c r="Q86" s="1782"/>
      <c r="S86" s="3357"/>
      <c r="T86" s="3358"/>
      <c r="V86" s="3354"/>
      <c r="W86" s="3355"/>
      <c r="X86" s="3356"/>
    </row>
    <row r="87" spans="1:24" s="305" customFormat="1" ht="12" customHeight="1">
      <c r="B87" s="305" t="s">
        <v>1287</v>
      </c>
      <c r="G87" s="3357">
        <v>20000</v>
      </c>
      <c r="H87" s="3358"/>
      <c r="J87" s="1782"/>
      <c r="K87" s="1782"/>
      <c r="L87" s="1577"/>
      <c r="M87" s="1782"/>
      <c r="N87" s="1782"/>
      <c r="P87" s="1782"/>
      <c r="Q87" s="1782"/>
      <c r="S87" s="3357">
        <v>20000</v>
      </c>
      <c r="T87" s="3358"/>
      <c r="V87" s="3354"/>
      <c r="W87" s="3355"/>
      <c r="X87" s="3356"/>
    </row>
    <row r="88" spans="1:24" s="305" customFormat="1" ht="12" customHeight="1">
      <c r="B88" s="305" t="s">
        <v>1289</v>
      </c>
      <c r="G88" s="3357"/>
      <c r="H88" s="3358"/>
      <c r="J88" s="1782"/>
      <c r="K88" s="1782"/>
      <c r="L88" s="1577"/>
      <c r="M88" s="1782"/>
      <c r="N88" s="1782"/>
      <c r="P88" s="1782"/>
      <c r="Q88" s="1782"/>
      <c r="S88" s="3357"/>
      <c r="T88" s="3358"/>
      <c r="V88" s="3354"/>
      <c r="W88" s="3355"/>
      <c r="X88" s="3356"/>
    </row>
    <row r="89" spans="1:24" s="305" customFormat="1" ht="12" customHeight="1">
      <c r="B89" s="305" t="s">
        <v>2313</v>
      </c>
      <c r="G89" s="3357"/>
      <c r="H89" s="3358"/>
      <c r="J89" s="1782"/>
      <c r="K89" s="1782"/>
      <c r="L89" s="1577"/>
      <c r="M89" s="1782"/>
      <c r="N89" s="1782"/>
      <c r="P89" s="1782"/>
      <c r="Q89" s="1782"/>
      <c r="S89" s="3357"/>
      <c r="T89" s="3358"/>
      <c r="V89" s="3354"/>
      <c r="W89" s="3355"/>
      <c r="X89" s="3356"/>
    </row>
    <row r="90" spans="1:24" s="305" customFormat="1" ht="12" customHeight="1" thickBot="1">
      <c r="A90" s="387" t="str">
        <f>IF(AND(G90&gt;0,OR(C90="",C90="&lt;Enter detailed description here; use Comments section if needed&gt;")),"X","")</f>
        <v/>
      </c>
      <c r="B90" s="305" t="s">
        <v>748</v>
      </c>
      <c r="C90" s="3359" t="s">
        <v>3740</v>
      </c>
      <c r="D90" s="3359"/>
      <c r="E90" s="3359"/>
      <c r="F90" s="3360"/>
      <c r="G90" s="3386"/>
      <c r="H90" s="3387"/>
      <c r="J90" s="1782"/>
      <c r="K90" s="1782"/>
      <c r="L90" s="1577"/>
      <c r="M90" s="1782"/>
      <c r="N90" s="1782"/>
      <c r="P90" s="1782"/>
      <c r="Q90" s="1782"/>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766">
        <f>SUM(G85:H90)</f>
        <v>20000</v>
      </c>
      <c r="H91" s="1767"/>
      <c r="J91" s="1782"/>
      <c r="K91" s="1782"/>
      <c r="L91" s="363"/>
      <c r="M91" s="1782"/>
      <c r="N91" s="1782"/>
      <c r="P91" s="1782"/>
      <c r="Q91" s="1782"/>
      <c r="S91" s="1766">
        <f>SUM(S85:T90)</f>
        <v>20000</v>
      </c>
      <c r="T91" s="1767"/>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621</v>
      </c>
      <c r="B93" s="437" t="s">
        <v>2861</v>
      </c>
      <c r="H93" s="1566"/>
      <c r="I93" s="1566"/>
      <c r="J93" s="1756" t="s">
        <v>273</v>
      </c>
      <c r="K93" s="1757"/>
      <c r="L93" s="360"/>
      <c r="M93" s="1760" t="s">
        <v>493</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2699</v>
      </c>
      <c r="X94" s="347"/>
    </row>
    <row r="95" spans="1:24" s="305" customFormat="1" ht="13.15" customHeight="1">
      <c r="B95" s="307" t="s">
        <v>732</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v>2000</v>
      </c>
      <c r="H96" s="3353"/>
      <c r="J96" s="363"/>
      <c r="K96" s="363"/>
      <c r="L96" s="1577"/>
      <c r="M96" s="363"/>
      <c r="N96" s="363"/>
      <c r="P96" s="363"/>
      <c r="Q96" s="363"/>
      <c r="S96" s="3352">
        <v>2000</v>
      </c>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3988</v>
      </c>
      <c r="G98" s="3357">
        <v>1000</v>
      </c>
      <c r="H98" s="3358"/>
      <c r="J98" s="363"/>
      <c r="K98" s="363"/>
      <c r="L98" s="370"/>
      <c r="M98" s="363"/>
      <c r="N98" s="363"/>
      <c r="O98" s="1566"/>
      <c r="P98" s="363"/>
      <c r="Q98" s="363"/>
      <c r="S98" s="3357">
        <v>1000</v>
      </c>
      <c r="T98" s="3358"/>
      <c r="V98" s="3354"/>
      <c r="W98" s="3355"/>
      <c r="X98" s="3356"/>
    </row>
    <row r="99" spans="1:24" s="305" customFormat="1" ht="12.6" customHeight="1">
      <c r="B99" s="305" t="s">
        <v>523</v>
      </c>
      <c r="E99" s="1783">
        <f>'DCA Underwriting Assumptions'!$Q$88*J175</f>
        <v>23600</v>
      </c>
      <c r="F99" s="1784"/>
      <c r="G99" s="3357">
        <v>23600</v>
      </c>
      <c r="H99" s="3358"/>
      <c r="J99" s="1055" t="str">
        <f>IF(E99&gt;G99,"WARNING!  LIHTC Allocation Fee proposed is below minimum required.","")</f>
        <v/>
      </c>
      <c r="K99" s="363"/>
      <c r="L99" s="1577"/>
      <c r="M99" s="363"/>
      <c r="N99" s="363"/>
      <c r="O99" s="1566"/>
      <c r="P99" s="363"/>
      <c r="Q99" s="363"/>
      <c r="S99" s="3357">
        <v>23600</v>
      </c>
      <c r="T99" s="3358"/>
      <c r="V99" s="3354"/>
      <c r="W99" s="3355"/>
      <c r="X99" s="3356"/>
    </row>
    <row r="100" spans="1:24" s="305" customFormat="1" ht="12.6" customHeight="1">
      <c r="B100" s="305" t="s">
        <v>760</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100" s="1784"/>
      <c r="G100" s="3357">
        <v>38400</v>
      </c>
      <c r="H100" s="3358"/>
      <c r="J100" s="1055" t="str">
        <f>IF(E100&gt;G100,"WARNING!  LIHTC Compliance Fee proposed is below minimum required.","")</f>
        <v/>
      </c>
      <c r="K100" s="280"/>
      <c r="L100" s="280"/>
      <c r="M100" s="280"/>
      <c r="N100" s="280"/>
      <c r="O100" s="280"/>
      <c r="P100" s="280"/>
      <c r="Q100" s="280"/>
      <c r="S100" s="3357">
        <v>38400</v>
      </c>
      <c r="T100" s="3358"/>
      <c r="V100" s="3354"/>
      <c r="W100" s="3355"/>
      <c r="X100" s="3356"/>
    </row>
    <row r="101" spans="1:24" s="305" customFormat="1" ht="12.6" customHeight="1">
      <c r="B101" s="305" t="s">
        <v>4301</v>
      </c>
      <c r="F101" s="1387">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4302</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748</v>
      </c>
      <c r="C103" s="3382" t="s">
        <v>3740</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748</v>
      </c>
      <c r="C104" s="3384" t="s">
        <v>3740</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766">
        <f>SUM(G96:H104)</f>
        <v>74500</v>
      </c>
      <c r="H105" s="1767"/>
      <c r="J105" s="363"/>
      <c r="K105" s="363"/>
      <c r="L105" s="1577"/>
      <c r="M105" s="363"/>
      <c r="N105" s="363"/>
      <c r="P105" s="363"/>
      <c r="Q105" s="363"/>
      <c r="S105" s="1766">
        <f>SUM(S96:T104)</f>
        <v>74500</v>
      </c>
      <c r="T105" s="1767"/>
      <c r="V105" s="3366">
        <f>SUM(V96:V104)</f>
        <v>0</v>
      </c>
      <c r="W105" s="3391"/>
      <c r="X105" s="3392"/>
    </row>
    <row r="106" spans="1:24" s="305" customFormat="1" ht="13.15" customHeight="1">
      <c r="B106" s="307" t="s">
        <v>2314</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4000</v>
      </c>
      <c r="H107" s="3353"/>
      <c r="J107" s="1782"/>
      <c r="K107" s="1782"/>
      <c r="L107" s="1577"/>
      <c r="M107" s="1782"/>
      <c r="N107" s="1782"/>
      <c r="O107" s="1566"/>
      <c r="P107" s="1782"/>
      <c r="Q107" s="1782"/>
      <c r="S107" s="3352">
        <v>4000</v>
      </c>
      <c r="T107" s="3353"/>
      <c r="V107" s="3354"/>
      <c r="W107" s="3355"/>
      <c r="X107" s="3356"/>
    </row>
    <row r="108" spans="1:24" s="305" customFormat="1" ht="12.6" customHeight="1">
      <c r="B108" s="305" t="s">
        <v>282</v>
      </c>
      <c r="G108" s="3357">
        <v>3999</v>
      </c>
      <c r="H108" s="3358"/>
      <c r="J108" s="1782"/>
      <c r="K108" s="1782"/>
      <c r="L108" s="1577"/>
      <c r="M108" s="1782"/>
      <c r="N108" s="1782"/>
      <c r="O108" s="1566"/>
      <c r="P108" s="1782"/>
      <c r="Q108" s="1782"/>
      <c r="S108" s="3357">
        <v>3999</v>
      </c>
      <c r="T108" s="3358"/>
      <c r="V108" s="3354"/>
      <c r="W108" s="3355"/>
      <c r="X108" s="3356"/>
    </row>
    <row r="109" spans="1:24" s="305" customFormat="1" ht="12.6" customHeight="1">
      <c r="B109" s="305" t="s">
        <v>2401</v>
      </c>
      <c r="G109" s="3357"/>
      <c r="H109" s="3358"/>
      <c r="J109" s="1782"/>
      <c r="K109" s="1782"/>
      <c r="L109" s="1577"/>
      <c r="M109" s="1782"/>
      <c r="N109" s="1782"/>
      <c r="O109" s="1566"/>
      <c r="P109" s="1782"/>
      <c r="Q109" s="1782"/>
      <c r="S109" s="3357"/>
      <c r="T109" s="3358"/>
      <c r="V109" s="3354"/>
      <c r="W109" s="3355"/>
      <c r="X109" s="3356"/>
    </row>
    <row r="110" spans="1:24" s="305" customFormat="1" ht="12.6" customHeight="1" thickBot="1">
      <c r="A110" s="387" t="str">
        <f>IF(AND(G110&gt;0,OR(C110="",C110="&lt;Enter detailed description here; use Comments section if needed&gt;")),"X","")</f>
        <v/>
      </c>
      <c r="B110" s="305" t="s">
        <v>748</v>
      </c>
      <c r="C110" s="3359" t="s">
        <v>3740</v>
      </c>
      <c r="D110" s="3359"/>
      <c r="E110" s="3359"/>
      <c r="F110" s="3360"/>
      <c r="G110" s="3386"/>
      <c r="H110" s="3387"/>
      <c r="J110" s="1782"/>
      <c r="K110" s="1782"/>
      <c r="L110" s="1577"/>
      <c r="M110" s="1782"/>
      <c r="N110" s="1782"/>
      <c r="O110" s="1566"/>
      <c r="P110" s="1782"/>
      <c r="Q110" s="1782"/>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766">
        <f>SUM(G107:H110)</f>
        <v>7999</v>
      </c>
      <c r="H111" s="1767"/>
      <c r="J111" s="1782"/>
      <c r="K111" s="1782"/>
      <c r="L111" s="1577"/>
      <c r="M111" s="1782"/>
      <c r="N111" s="1782"/>
      <c r="O111" s="1566"/>
      <c r="P111" s="1782"/>
      <c r="Q111" s="1782"/>
      <c r="S111" s="1766">
        <f>SUM(S107:T110)</f>
        <v>7999</v>
      </c>
      <c r="T111" s="1767"/>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1873</v>
      </c>
      <c r="F113" s="412">
        <f>IF($G$118=0,0,G113/$G$118)</f>
        <v>0.20002886824453006</v>
      </c>
      <c r="G113" s="3393">
        <v>49889</v>
      </c>
      <c r="H113" s="3393"/>
      <c r="J113" s="3394"/>
      <c r="K113" s="3395"/>
      <c r="L113" s="362"/>
      <c r="M113" s="3394"/>
      <c r="N113" s="3395"/>
      <c r="P113" s="3394">
        <v>49889</v>
      </c>
      <c r="Q113" s="3395"/>
      <c r="S113" s="3394"/>
      <c r="T113" s="3395"/>
      <c r="V113" s="3354"/>
      <c r="W113" s="3355"/>
      <c r="X113" s="3356"/>
    </row>
    <row r="114" spans="1:24" s="305" customFormat="1" ht="12.6" customHeight="1">
      <c r="B114" s="305" t="s">
        <v>4253</v>
      </c>
      <c r="F114" s="3396">
        <v>4069</v>
      </c>
      <c r="V114" s="3354"/>
      <c r="W114" s="3355"/>
      <c r="X114" s="3356"/>
    </row>
    <row r="115" spans="1:24" s="305" customFormat="1" ht="12.6" customHeight="1">
      <c r="B115" s="305" t="s">
        <v>1874</v>
      </c>
      <c r="F115" s="412">
        <f>IF($G$118=0,0,G115/$G$118)</f>
        <v>0</v>
      </c>
      <c r="G115" s="3352"/>
      <c r="H115" s="3353"/>
      <c r="J115" s="3352"/>
      <c r="K115" s="3353"/>
      <c r="L115" s="1577"/>
      <c r="M115" s="3352"/>
      <c r="N115" s="3353"/>
      <c r="P115" s="3352"/>
      <c r="Q115" s="3353"/>
      <c r="S115" s="3352"/>
      <c r="T115" s="3353"/>
      <c r="V115" s="3354"/>
      <c r="W115" s="3355"/>
      <c r="X115" s="3356"/>
    </row>
    <row r="116" spans="1:24" s="305" customFormat="1" ht="12.6" customHeight="1">
      <c r="B116" s="305" t="s">
        <v>3660</v>
      </c>
      <c r="F116" s="412">
        <f>IF($G$118=0,0,G116/$G$118)</f>
        <v>0</v>
      </c>
      <c r="G116" s="3357"/>
      <c r="H116" s="3358"/>
      <c r="J116" s="3357"/>
      <c r="K116" s="3358"/>
      <c r="L116" s="1577"/>
      <c r="M116" s="3357"/>
      <c r="N116" s="3358"/>
      <c r="P116" s="3357"/>
      <c r="Q116" s="3358"/>
      <c r="S116" s="3357"/>
      <c r="T116" s="3358"/>
      <c r="V116" s="3354"/>
      <c r="W116" s="3355"/>
      <c r="X116" s="3356"/>
    </row>
    <row r="117" spans="1:24" s="305" customFormat="1" ht="12.6" customHeight="1" thickBot="1">
      <c r="B117" s="305" t="s">
        <v>1866</v>
      </c>
      <c r="F117" s="412">
        <f>IF($G$118=0,0,G117/$G$118)</f>
        <v>0.79997113175546997</v>
      </c>
      <c r="G117" s="3386">
        <v>199520</v>
      </c>
      <c r="H117" s="3387"/>
      <c r="J117" s="3386"/>
      <c r="K117" s="3387"/>
      <c r="L117" s="1577"/>
      <c r="M117" s="3386"/>
      <c r="N117" s="3387"/>
      <c r="P117" s="3386">
        <v>199520</v>
      </c>
      <c r="Q117" s="3387"/>
      <c r="S117" s="3386"/>
      <c r="T117" s="3387"/>
      <c r="V117" s="3354"/>
      <c r="W117" s="3364"/>
      <c r="X117" s="3365"/>
    </row>
    <row r="118" spans="1:24" s="305" customFormat="1" ht="12.6" customHeight="1" thickTop="1">
      <c r="C118" s="386"/>
      <c r="F118" s="361" t="s">
        <v>193</v>
      </c>
      <c r="G118" s="1766">
        <f>SUM(G113:H117)</f>
        <v>249409</v>
      </c>
      <c r="H118" s="1767"/>
      <c r="J118" s="1766">
        <f>SUM(J113:K117)</f>
        <v>0</v>
      </c>
      <c r="K118" s="1767"/>
      <c r="L118" s="1577"/>
      <c r="M118" s="1766">
        <f>SUM(M113:N117)</f>
        <v>0</v>
      </c>
      <c r="N118" s="1767"/>
      <c r="P118" s="1766">
        <f>SUM(P113:Q117)</f>
        <v>249409</v>
      </c>
      <c r="Q118" s="1767"/>
      <c r="S118" s="1766">
        <f>SUM(S113:T117)</f>
        <v>0</v>
      </c>
      <c r="T118" s="1767"/>
      <c r="V118" s="3366">
        <f>SUM(V113:V117)</f>
        <v>0</v>
      </c>
      <c r="W118" s="3367"/>
      <c r="X118" s="3368"/>
    </row>
    <row r="119" spans="1:24" s="305" customFormat="1" ht="13.15" customHeight="1">
      <c r="B119" s="307" t="s">
        <v>1320</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5865</v>
      </c>
      <c r="H120" s="3353"/>
      <c r="J120" s="371"/>
      <c r="K120" s="371"/>
      <c r="L120" s="371"/>
      <c r="M120" s="371"/>
      <c r="N120" s="371"/>
      <c r="P120" s="371"/>
      <c r="Q120" s="371"/>
      <c r="S120" s="3352">
        <v>5865</v>
      </c>
      <c r="T120" s="3353"/>
      <c r="V120" s="3354"/>
      <c r="W120" s="3355"/>
      <c r="X120" s="3356"/>
    </row>
    <row r="121" spans="1:24" s="305" customFormat="1" ht="12.6" customHeight="1">
      <c r="B121" s="305" t="s">
        <v>1547</v>
      </c>
      <c r="F121" s="513">
        <f>+'Part VI-Revenues &amp; Expenses'!$P$175*('DCA Underwriting Assumptions'!$Q$110/12)</f>
        <v>38456.5</v>
      </c>
      <c r="G121" s="3357">
        <v>38457</v>
      </c>
      <c r="H121" s="3358"/>
      <c r="J121" s="1057" t="str">
        <f>IF(E121&gt;G121,"WARNING! Rent-Up Reserves proposed is below minimum - add comment.","")</f>
        <v/>
      </c>
      <c r="K121" s="1057"/>
      <c r="L121" s="1577"/>
      <c r="M121" s="1030"/>
      <c r="N121" s="1030"/>
      <c r="O121" s="1566"/>
      <c r="P121" s="1030"/>
      <c r="Q121" s="1030"/>
      <c r="R121" s="1566"/>
      <c r="S121" s="3357">
        <v>38457</v>
      </c>
      <c r="T121" s="3358"/>
      <c r="V121" s="3354"/>
      <c r="W121" s="3355"/>
      <c r="X121" s="3356"/>
    </row>
    <row r="122" spans="1:24" s="305" customFormat="1" ht="12.6" customHeight="1">
      <c r="B122" s="305" t="s">
        <v>683</v>
      </c>
      <c r="F122" s="514">
        <f>'Part VI-Revenues &amp; Expenses'!$P$175*('DCA Underwriting Assumptions'!$Q$109/12)+('Part VII-Pro Forma'!$B$23+'Part VII-Pro Forma'!$B$24+'Part VII-Pro Forma'!$B$25+'Part VII-Pro Forma'!$B$26)*'DCA Underwriting Assumptions'!$Q$108/(-12)</f>
        <v>76913</v>
      </c>
      <c r="G122" s="3357">
        <v>76913</v>
      </c>
      <c r="H122" s="3358"/>
      <c r="J122" s="1057" t="str">
        <f>IF(E122&gt;G122,"WARNING! ODR proposed is below minimum - add comment.","")</f>
        <v/>
      </c>
      <c r="K122" s="370"/>
      <c r="L122" s="370"/>
      <c r="M122" s="370"/>
      <c r="N122" s="370"/>
      <c r="O122" s="1566"/>
      <c r="P122" s="370"/>
      <c r="Q122" s="370"/>
      <c r="R122" s="1566"/>
      <c r="S122" s="3357">
        <v>76913</v>
      </c>
      <c r="T122" s="3358"/>
      <c r="V122" s="3354"/>
      <c r="W122" s="3355"/>
      <c r="X122" s="3356"/>
    </row>
    <row r="123" spans="1:24" s="305" customFormat="1" ht="12.6" customHeight="1">
      <c r="B123" s="305" t="s">
        <v>1255</v>
      </c>
      <c r="G123" s="3357"/>
      <c r="H123" s="3358"/>
      <c r="J123" s="371"/>
      <c r="K123" s="371"/>
      <c r="L123" s="371"/>
      <c r="M123" s="371"/>
      <c r="N123" s="371"/>
      <c r="P123" s="371"/>
      <c r="Q123" s="371"/>
      <c r="S123" s="3357"/>
      <c r="T123" s="3358"/>
      <c r="V123" s="3354"/>
      <c r="W123" s="3355"/>
      <c r="X123" s="3356"/>
    </row>
    <row r="124" spans="1:24" s="305" customFormat="1" ht="12.6" customHeight="1">
      <c r="B124" s="305" t="s">
        <v>1256</v>
      </c>
      <c r="E124" s="901" t="s">
        <v>3589</v>
      </c>
      <c r="F124" s="481">
        <f>IF('Part VI-Revenues &amp; Expenses'!$O$62=0,0,G124/'Part VI-Revenues &amp; Expenses'!$O$62)</f>
        <v>312.5</v>
      </c>
      <c r="G124" s="3357">
        <v>15000</v>
      </c>
      <c r="H124" s="3358"/>
      <c r="J124" s="3352"/>
      <c r="K124" s="3353"/>
      <c r="L124" s="1577"/>
      <c r="M124" s="3352"/>
      <c r="N124" s="3353"/>
      <c r="P124" s="3352">
        <v>15000</v>
      </c>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748</v>
      </c>
      <c r="C125" s="3359"/>
      <c r="D125" s="3359"/>
      <c r="E125" s="3359"/>
      <c r="F125" s="3360"/>
      <c r="G125" s="3386"/>
      <c r="H125" s="3387"/>
      <c r="J125" s="3362"/>
      <c r="K125" s="3363"/>
      <c r="L125" s="1577"/>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766">
        <f>SUM(G120:H125)</f>
        <v>136235</v>
      </c>
      <c r="H126" s="1767"/>
      <c r="J126" s="1766">
        <f>SUM(J124:K125)</f>
        <v>0</v>
      </c>
      <c r="K126" s="1767"/>
      <c r="L126" s="1577"/>
      <c r="M126" s="1766">
        <f>SUM(M124:N125)</f>
        <v>0</v>
      </c>
      <c r="N126" s="1767"/>
      <c r="P126" s="1766">
        <f>SUM(P124:Q125)</f>
        <v>15000</v>
      </c>
      <c r="Q126" s="1767"/>
      <c r="S126" s="1766">
        <f>SUM(S120:T125)</f>
        <v>121235</v>
      </c>
      <c r="T126" s="1767"/>
      <c r="V126" s="3366">
        <f>SUM(V120:V125)</f>
        <v>0</v>
      </c>
      <c r="W126" s="3367"/>
      <c r="X126" s="3368"/>
    </row>
    <row r="127" spans="1:24" s="305" customFormat="1" ht="13.15" customHeight="1">
      <c r="B127" s="307" t="s">
        <v>615</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616</v>
      </c>
      <c r="C128" s="1557"/>
      <c r="G128" s="3352">
        <v>75000</v>
      </c>
      <c r="H128" s="3353"/>
      <c r="J128" s="3352"/>
      <c r="K128" s="3353"/>
      <c r="L128" s="362"/>
      <c r="M128" s="3352"/>
      <c r="N128" s="3353"/>
      <c r="P128" s="3352"/>
      <c r="Q128" s="3353"/>
      <c r="S128" s="3352">
        <v>75000</v>
      </c>
      <c r="T128" s="3353"/>
      <c r="V128" s="3354"/>
      <c r="W128" s="3355"/>
      <c r="X128" s="3356"/>
    </row>
    <row r="129" spans="1:24" s="305" customFormat="1" ht="12.6" customHeight="1" thickBot="1">
      <c r="A129" s="387" t="str">
        <f>IF(AND(G129&gt;0,OR(C129="",C129="&lt;Enter detailed description here; use Comments section if needed&gt;")),"X","")</f>
        <v/>
      </c>
      <c r="B129" s="305" t="s">
        <v>748</v>
      </c>
      <c r="C129" s="3359" t="s">
        <v>3740</v>
      </c>
      <c r="D129" s="3359"/>
      <c r="E129" s="3359"/>
      <c r="F129" s="3360"/>
      <c r="G129" s="3386"/>
      <c r="H129" s="3387"/>
      <c r="J129" s="3386"/>
      <c r="K129" s="3387"/>
      <c r="L129" s="1577"/>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7"/>
      <c r="F130" s="361" t="s">
        <v>193</v>
      </c>
      <c r="G130" s="1766">
        <f>SUM(G128:H129)</f>
        <v>75000</v>
      </c>
      <c r="H130" s="1767"/>
      <c r="J130" s="1766">
        <f>SUM(J128:K129)</f>
        <v>0</v>
      </c>
      <c r="K130" s="1767"/>
      <c r="L130" s="1577"/>
      <c r="M130" s="1766">
        <f>SUM(M128:N129)</f>
        <v>0</v>
      </c>
      <c r="N130" s="1767"/>
      <c r="P130" s="1766">
        <f>SUM(P128:Q129)</f>
        <v>0</v>
      </c>
      <c r="Q130" s="1767"/>
      <c r="S130" s="1766">
        <f>SUM(S128:T129)</f>
        <v>75000</v>
      </c>
      <c r="T130" s="1767"/>
      <c r="V130" s="3366">
        <f>SUM(V128:V129)</f>
        <v>0</v>
      </c>
      <c r="W130" s="3367"/>
      <c r="X130" s="3368"/>
    </row>
    <row r="131" spans="1:24" s="305" customFormat="1" ht="3" customHeight="1" thickBot="1">
      <c r="C131" s="1557"/>
      <c r="H131" s="368"/>
      <c r="I131" s="368"/>
      <c r="L131" s="1566"/>
      <c r="V131" s="1176"/>
      <c r="W131" s="3397"/>
      <c r="X131" s="3398"/>
    </row>
    <row r="132" spans="1:24" s="305" customFormat="1" ht="13.9" customHeight="1" thickBot="1">
      <c r="B132" s="311" t="s">
        <v>2785</v>
      </c>
      <c r="G132" s="1785">
        <f>G17+G23+G27+G33+G38+G41+G47+G64+G77+G83+G91+G105+G111+G118+G126+G130</f>
        <v>3838818</v>
      </c>
      <c r="H132" s="1786"/>
      <c r="J132" s="1785">
        <f>J17+J23+J27+J33+J38+J41+J47+J64+J77+J83+J91+J105+J111+J118+J126+J130</f>
        <v>0</v>
      </c>
      <c r="K132" s="1786"/>
      <c r="M132" s="1785">
        <f>M17+M23+M27+M33+M38+M41+M47+M64+M77+M83+M91+M105+M111+M118+M126+M130</f>
        <v>868975</v>
      </c>
      <c r="N132" s="1786"/>
      <c r="P132" s="1785">
        <f>P17+P23+P27+P33+P38+P41+P47+P64+P77+P83+P91+P105+P111+P118+P126+P130</f>
        <v>2359859</v>
      </c>
      <c r="Q132" s="1786"/>
      <c r="S132" s="1785">
        <f>S17+S23+S27+S33+S38+S41+S47+S64+S77+S83+S91+S105+S111+S118+S126+S130</f>
        <v>609984</v>
      </c>
      <c r="T132" s="1786"/>
      <c r="V132" s="3399">
        <f>V17+V23+V27+V33+V38+V41+V47+V64+V77+V83+V91+V105+V111+V118+V126+V130</f>
        <v>0</v>
      </c>
      <c r="W132" s="3400"/>
      <c r="X132" s="3368"/>
    </row>
    <row r="133" spans="1:24" s="305" customFormat="1" ht="3" customHeight="1">
      <c r="C133" s="1557"/>
      <c r="H133" s="368"/>
      <c r="I133" s="368"/>
      <c r="L133" s="1566"/>
      <c r="V133" s="1176"/>
    </row>
    <row r="134" spans="1:24" s="305" customFormat="1" ht="13.9" customHeight="1">
      <c r="B134" s="524" t="s">
        <v>2781</v>
      </c>
      <c r="C134" s="522"/>
      <c r="D134" s="1792">
        <f>IF('Part VI-Revenues &amp; Expenses'!$O$62=0,0,G132/'Part VI-Revenues &amp; Expenses'!$O$62)</f>
        <v>79975.375</v>
      </c>
      <c r="E134" s="1792"/>
      <c r="F134" s="523" t="s">
        <v>2780</v>
      </c>
      <c r="G134" s="1793">
        <f>IF('Part I-Project Information'!$P$71=0,0,G132/'Part I-Project Information'!$P$71)</f>
        <v>95.528630085852924</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747</v>
      </c>
      <c r="B137" s="439" t="s">
        <v>1437</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2059</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1"/>
      <c r="K140" s="3402"/>
      <c r="P140" s="3401"/>
      <c r="Q140" s="3402"/>
      <c r="V140" s="3354"/>
      <c r="W140" s="3355"/>
      <c r="X140" s="3356"/>
    </row>
    <row r="141" spans="1:24" s="305" customFormat="1" ht="13.9" customHeight="1">
      <c r="B141" s="1566" t="s">
        <v>2167</v>
      </c>
      <c r="D141" s="1566"/>
      <c r="E141" s="1566"/>
      <c r="F141" s="1566"/>
      <c r="G141" s="1566"/>
      <c r="H141" s="1566"/>
      <c r="I141" s="375"/>
      <c r="J141" s="3403"/>
      <c r="K141" s="3404"/>
      <c r="P141" s="3403"/>
      <c r="Q141" s="3404"/>
      <c r="V141" s="3354"/>
      <c r="W141" s="3355"/>
      <c r="X141" s="3356"/>
    </row>
    <row r="142" spans="1:24" s="305" customFormat="1" ht="13.9" customHeight="1">
      <c r="B142" s="1566" t="s">
        <v>1876</v>
      </c>
      <c r="D142" s="1566"/>
      <c r="E142" s="1566"/>
      <c r="I142" s="375"/>
      <c r="J142" s="3403"/>
      <c r="K142" s="3404"/>
      <c r="P142" s="3403"/>
      <c r="Q142" s="3404"/>
      <c r="V142" s="3354"/>
      <c r="W142" s="3355"/>
      <c r="X142" s="3356"/>
    </row>
    <row r="143" spans="1:24" s="305" customFormat="1" ht="13.9" customHeight="1">
      <c r="B143" s="1566" t="s">
        <v>1877</v>
      </c>
      <c r="D143" s="1566"/>
      <c r="E143" s="1566"/>
      <c r="I143" s="375"/>
      <c r="J143" s="3403"/>
      <c r="K143" s="3404"/>
      <c r="P143" s="3403"/>
      <c r="Q143" s="3404"/>
      <c r="V143" s="3354"/>
      <c r="W143" s="3355"/>
      <c r="X143" s="3356"/>
    </row>
    <row r="144" spans="1:24" s="305" customFormat="1" ht="13.9" customHeight="1">
      <c r="B144" s="1566" t="s">
        <v>256</v>
      </c>
      <c r="D144" s="1566"/>
      <c r="E144" s="1566"/>
      <c r="I144" s="375"/>
      <c r="J144" s="3403"/>
      <c r="K144" s="3404"/>
      <c r="P144" s="3403"/>
      <c r="Q144" s="3404"/>
      <c r="V144" s="3354"/>
      <c r="W144" s="3355"/>
      <c r="X144" s="3356"/>
    </row>
    <row r="145" spans="1:24" s="305" customFormat="1" ht="13.9" customHeight="1" thickBot="1">
      <c r="B145" s="1566" t="s">
        <v>1612</v>
      </c>
      <c r="C145" s="3405" t="s">
        <v>2430</v>
      </c>
      <c r="D145" s="3405"/>
      <c r="E145" s="3405"/>
      <c r="F145" s="3405"/>
      <c r="G145" s="3405"/>
      <c r="H145" s="3405"/>
      <c r="I145" s="3406"/>
      <c r="J145" s="3407"/>
      <c r="K145" s="3408"/>
      <c r="P145" s="3407"/>
      <c r="Q145" s="3408"/>
      <c r="V145" s="3354"/>
      <c r="W145" s="3364"/>
      <c r="X145" s="3365"/>
    </row>
    <row r="146" spans="1:24" s="305" customFormat="1" ht="13.9" customHeight="1" thickBot="1">
      <c r="B146" s="316" t="s">
        <v>1878</v>
      </c>
      <c r="C146" s="319"/>
      <c r="J146" s="1735">
        <f>SUM(J140:K145)</f>
        <v>0</v>
      </c>
      <c r="K146" s="1736"/>
      <c r="P146" s="1735">
        <f>SUM(P140:Q145)</f>
        <v>0</v>
      </c>
      <c r="Q146" s="1736"/>
      <c r="V146" s="3366">
        <f>SUM(V140:V145)</f>
        <v>0</v>
      </c>
      <c r="W146" s="3367"/>
      <c r="X146" s="3368"/>
    </row>
    <row r="147" spans="1:24" s="305" customFormat="1" ht="3" customHeight="1">
      <c r="V147" s="1176"/>
    </row>
    <row r="148" spans="1:24" s="305" customFormat="1" ht="15" customHeight="1" thickBot="1">
      <c r="B148" s="307" t="s">
        <v>2355</v>
      </c>
      <c r="V148" s="1176"/>
      <c r="W148" s="305" t="str">
        <f>B148</f>
        <v>Eligible Basis Calculation</v>
      </c>
    </row>
    <row r="149" spans="1:24" s="305" customFormat="1" ht="13.9" customHeight="1">
      <c r="B149" s="305" t="s">
        <v>1802</v>
      </c>
      <c r="J149" s="1787">
        <f>J132</f>
        <v>0</v>
      </c>
      <c r="K149" s="1788"/>
      <c r="M149" s="1789">
        <f>M132</f>
        <v>868975</v>
      </c>
      <c r="N149" s="1790"/>
      <c r="P149" s="1787">
        <f>P132</f>
        <v>2359859</v>
      </c>
      <c r="Q149" s="1788"/>
      <c r="V149" s="3354"/>
      <c r="W149" s="3355"/>
      <c r="X149" s="3356"/>
    </row>
    <row r="150" spans="1:24" s="305" customFormat="1" ht="13.9" customHeight="1">
      <c r="B150" s="305" t="s">
        <v>2235</v>
      </c>
      <c r="J150" s="1795">
        <f>J146</f>
        <v>0</v>
      </c>
      <c r="K150" s="1796"/>
      <c r="M150" s="1797"/>
      <c r="N150" s="1797"/>
      <c r="P150" s="1795">
        <f>P146</f>
        <v>0</v>
      </c>
      <c r="Q150" s="1796"/>
      <c r="V150" s="3354"/>
      <c r="W150" s="3355"/>
      <c r="X150" s="3356"/>
    </row>
    <row r="151" spans="1:24" s="305" customFormat="1" ht="13.9" customHeight="1">
      <c r="B151" s="305" t="s">
        <v>2236</v>
      </c>
      <c r="J151" s="1795">
        <f>J149-J150</f>
        <v>0</v>
      </c>
      <c r="K151" s="1796"/>
      <c r="M151" s="1795">
        <f>M149</f>
        <v>868975</v>
      </c>
      <c r="N151" s="1796"/>
      <c r="P151" s="1795">
        <f>P149-P150</f>
        <v>2359859</v>
      </c>
      <c r="Q151" s="1796"/>
      <c r="V151" s="3354"/>
      <c r="W151" s="3355"/>
      <c r="X151" s="3356"/>
    </row>
    <row r="152" spans="1:24" s="305" customFormat="1" ht="13.9" customHeight="1">
      <c r="B152" s="305" t="s">
        <v>1496</v>
      </c>
      <c r="G152" s="1558" t="s">
        <v>1726</v>
      </c>
      <c r="H152" s="3409" t="s">
        <v>4649</v>
      </c>
      <c r="I152" s="3410"/>
      <c r="J152" s="3411">
        <v>1.3</v>
      </c>
      <c r="K152" s="3412"/>
      <c r="M152" s="1798"/>
      <c r="N152" s="1798"/>
      <c r="P152" s="3411">
        <v>1.3</v>
      </c>
      <c r="Q152" s="3412"/>
      <c r="V152" s="3354"/>
      <c r="W152" s="3355"/>
      <c r="X152" s="3356"/>
    </row>
    <row r="153" spans="1:24" s="305" customFormat="1" ht="13.9" customHeight="1">
      <c r="B153" s="305" t="s">
        <v>2069</v>
      </c>
      <c r="J153" s="1795">
        <f>J151*J152</f>
        <v>0</v>
      </c>
      <c r="K153" s="1796"/>
      <c r="M153" s="1795">
        <f>+M151</f>
        <v>868975</v>
      </c>
      <c r="N153" s="1796"/>
      <c r="P153" s="1795">
        <f>P151*P152</f>
        <v>3067816.7</v>
      </c>
      <c r="Q153" s="1796"/>
      <c r="V153" s="3354"/>
      <c r="W153" s="3355"/>
      <c r="X153" s="3356"/>
    </row>
    <row r="154" spans="1:24" s="305" customFormat="1" ht="13.9" customHeight="1">
      <c r="B154" s="305" t="s">
        <v>2557</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4"/>
      <c r="W154" s="3355"/>
      <c r="X154" s="3356"/>
    </row>
    <row r="155" spans="1:24" s="305" customFormat="1" ht="13.9" customHeight="1">
      <c r="B155" s="305" t="s">
        <v>2060</v>
      </c>
      <c r="J155" s="1795">
        <f>J153*J154</f>
        <v>0</v>
      </c>
      <c r="K155" s="1796"/>
      <c r="M155" s="1795">
        <f>M153*M154</f>
        <v>868975</v>
      </c>
      <c r="N155" s="1796"/>
      <c r="P155" s="1795">
        <f>P153*P154</f>
        <v>3067816.7</v>
      </c>
      <c r="Q155" s="1796"/>
      <c r="V155" s="3354"/>
      <c r="W155" s="3355"/>
      <c r="X155" s="3356"/>
    </row>
    <row r="156" spans="1:24" s="305" customFormat="1" ht="13.9" customHeight="1">
      <c r="B156" s="305" t="s">
        <v>2061</v>
      </c>
      <c r="J156" s="3411">
        <v>0.09</v>
      </c>
      <c r="K156" s="3412"/>
      <c r="M156" s="3411">
        <v>3.2800000000000003E-2</v>
      </c>
      <c r="N156" s="3412"/>
      <c r="P156" s="3411">
        <v>0.09</v>
      </c>
      <c r="Q156" s="3412"/>
      <c r="V156" s="3354"/>
      <c r="W156" s="3355"/>
      <c r="X156" s="3356"/>
    </row>
    <row r="157" spans="1:24" s="305" customFormat="1" ht="13.9" customHeight="1" thickBot="1">
      <c r="B157" s="305" t="s">
        <v>2558</v>
      </c>
      <c r="J157" s="1801">
        <f>J155*J156</f>
        <v>0</v>
      </c>
      <c r="K157" s="1802"/>
      <c r="M157" s="1801">
        <f>M155*M156</f>
        <v>28502.38</v>
      </c>
      <c r="N157" s="1802"/>
      <c r="P157" s="1801">
        <f>P155*P156</f>
        <v>276103.50300000003</v>
      </c>
      <c r="Q157" s="1802"/>
      <c r="V157" s="3413"/>
      <c r="W157" s="3364"/>
      <c r="X157" s="3365"/>
    </row>
    <row r="158" spans="1:24" s="305" customFormat="1" ht="13.9" customHeight="1" thickBot="1">
      <c r="B158" s="307" t="s">
        <v>1435</v>
      </c>
      <c r="J158" s="1735">
        <f>J157+M157+P157</f>
        <v>304605.88300000003</v>
      </c>
      <c r="K158" s="1791"/>
      <c r="L158" s="1791"/>
      <c r="M158" s="1791"/>
      <c r="N158" s="1791"/>
      <c r="O158" s="1791"/>
      <c r="P158" s="1791"/>
      <c r="Q158" s="1736"/>
      <c r="V158" s="3366"/>
      <c r="W158" s="3391"/>
      <c r="X158" s="3392"/>
    </row>
    <row r="159" spans="1:24" s="305" customFormat="1" ht="6" customHeight="1">
      <c r="B159" s="376"/>
      <c r="L159" s="377"/>
      <c r="M159" s="377"/>
      <c r="N159" s="377"/>
      <c r="O159" s="377"/>
      <c r="V159" s="1176"/>
    </row>
    <row r="160" spans="1:24" s="305" customFormat="1" ht="13.9" customHeight="1">
      <c r="A160" s="438" t="s">
        <v>749</v>
      </c>
      <c r="B160" s="438" t="s">
        <v>1438</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2786</v>
      </c>
      <c r="G162" s="1825" t="str">
        <f>IF(J163&gt;J162,"TDC exceeds QAP PUCL!","")</f>
        <v/>
      </c>
      <c r="H162" s="1825"/>
      <c r="I162" s="1826"/>
      <c r="J162" s="1822">
        <f>'Part VIII-Threshold Criteria'!$P$63</f>
        <v>9013956</v>
      </c>
      <c r="K162" s="1823"/>
      <c r="L162" s="1824"/>
      <c r="M162" s="1809" t="s">
        <v>2763</v>
      </c>
      <c r="N162" s="1827"/>
      <c r="O162" s="1827"/>
      <c r="P162" s="1827"/>
      <c r="Q162" s="1827"/>
      <c r="R162" s="1810"/>
      <c r="S162" s="1809" t="s">
        <v>3701</v>
      </c>
      <c r="T162" s="1810"/>
      <c r="V162" s="3354"/>
      <c r="W162" s="3355"/>
      <c r="X162" s="3356"/>
    </row>
    <row r="163" spans="1:24" s="305" customFormat="1" ht="13.9" customHeight="1">
      <c r="B163" s="305" t="s">
        <v>2765</v>
      </c>
      <c r="J163" s="3414">
        <v>3838818</v>
      </c>
      <c r="K163" s="3415"/>
      <c r="L163" s="3416"/>
      <c r="M163" s="1811"/>
      <c r="N163" s="1828"/>
      <c r="O163" s="1828"/>
      <c r="P163" s="1828"/>
      <c r="Q163" s="1828"/>
      <c r="R163" s="1812"/>
      <c r="S163" s="1811"/>
      <c r="T163" s="1812"/>
      <c r="V163" s="3354"/>
      <c r="W163" s="3355"/>
      <c r="X163" s="3356"/>
    </row>
    <row r="164" spans="1:24" s="305" customFormat="1" ht="13.9" customHeight="1">
      <c r="B164" s="305" t="s">
        <v>265</v>
      </c>
      <c r="J164" s="1795">
        <f>'Part III-Sources of Funds'!$I$58-'Part III-Sources of Funds'!$I$41-'Part III-Sources of Funds'!$I$42-'Part III-Sources of Funds'!$I$49-'Part III-Sources of Funds'!$I$50</f>
        <v>0</v>
      </c>
      <c r="K164" s="1797"/>
      <c r="L164" s="1813"/>
      <c r="M164" s="1811"/>
      <c r="N164" s="1828"/>
      <c r="O164" s="1828"/>
      <c r="P164" s="1828"/>
      <c r="Q164" s="1828"/>
      <c r="R164" s="1812"/>
      <c r="S164" s="1811"/>
      <c r="T164" s="1812"/>
      <c r="V164" s="3354"/>
      <c r="W164" s="3355"/>
      <c r="X164" s="3356"/>
    </row>
    <row r="165" spans="1:24" s="305" customFormat="1" ht="13.9" customHeight="1" thickBot="1">
      <c r="B165" s="305" t="s">
        <v>2247</v>
      </c>
      <c r="J165" s="1795">
        <f>+J163-J164</f>
        <v>3838818</v>
      </c>
      <c r="K165" s="1797"/>
      <c r="L165" s="1813"/>
      <c r="M165" s="1814" t="s">
        <v>2764</v>
      </c>
      <c r="N165" s="1815"/>
      <c r="O165" s="1816">
        <f>'Part III-Sources of Funds'!$I$41</f>
        <v>0</v>
      </c>
      <c r="P165" s="1816"/>
      <c r="Q165" s="1816"/>
      <c r="R165" s="1817"/>
      <c r="S165" s="424" t="s">
        <v>1674</v>
      </c>
      <c r="T165" s="3417"/>
      <c r="V165" s="3354"/>
      <c r="W165" s="3355"/>
      <c r="X165" s="3356"/>
    </row>
    <row r="166" spans="1:24" s="305" customFormat="1" ht="13.9" customHeight="1">
      <c r="B166" s="305" t="s">
        <v>1297</v>
      </c>
      <c r="J166" s="1818" t="str">
        <f>"/ 10"</f>
        <v>/ 10</v>
      </c>
      <c r="K166" s="1818"/>
      <c r="L166" s="1818"/>
      <c r="M166" s="1566"/>
      <c r="N166" s="494"/>
      <c r="O166" s="494"/>
      <c r="P166" s="494"/>
      <c r="Q166" s="494"/>
      <c r="R166" s="494"/>
      <c r="V166" s="1176"/>
      <c r="W166" s="3355"/>
      <c r="X166" s="3356"/>
    </row>
    <row r="167" spans="1:24" s="305" customFormat="1" ht="13.9" customHeight="1">
      <c r="B167" s="305" t="s">
        <v>1298</v>
      </c>
      <c r="J167" s="1795">
        <f>J165/10</f>
        <v>383881.8</v>
      </c>
      <c r="K167" s="1797"/>
      <c r="L167" s="1796"/>
      <c r="M167" s="324"/>
      <c r="N167" s="1637" t="s">
        <v>1299</v>
      </c>
      <c r="O167" s="1637"/>
      <c r="Q167" s="1637" t="s">
        <v>1811</v>
      </c>
      <c r="R167" s="1637"/>
      <c r="V167" s="3354"/>
      <c r="W167" s="3355"/>
      <c r="X167" s="3356"/>
    </row>
    <row r="168" spans="1:24" s="305" customFormat="1" ht="13.9" customHeight="1" thickBot="1">
      <c r="B168" s="305" t="s">
        <v>1495</v>
      </c>
      <c r="J168" s="1803">
        <f>N168+Q168</f>
        <v>1.3</v>
      </c>
      <c r="K168" s="1804"/>
      <c r="L168" s="1805"/>
      <c r="M168" s="1558" t="s">
        <v>1300</v>
      </c>
      <c r="N168" s="3418">
        <v>0.85</v>
      </c>
      <c r="O168" s="3419"/>
      <c r="P168" s="1558" t="s">
        <v>617</v>
      </c>
      <c r="Q168" s="3418">
        <v>0.45</v>
      </c>
      <c r="R168" s="3419"/>
      <c r="V168" s="3354"/>
      <c r="W168" s="3355"/>
      <c r="X168" s="3356"/>
    </row>
    <row r="169" spans="1:24" s="305" customFormat="1" ht="13.9" customHeight="1" thickBot="1">
      <c r="B169" s="307" t="s">
        <v>1436</v>
      </c>
      <c r="J169" s="1735">
        <f>IF(J168=0,"",J167/J168)</f>
        <v>295293.69230769231</v>
      </c>
      <c r="K169" s="1791"/>
      <c r="L169" s="1736"/>
      <c r="M169" s="324"/>
      <c r="N169" s="1566"/>
      <c r="O169" s="1566"/>
      <c r="V169" s="3354"/>
      <c r="W169" s="3355"/>
      <c r="X169" s="3356"/>
    </row>
    <row r="170" spans="1:24" s="305" customFormat="1" ht="6" customHeight="1">
      <c r="J170" s="378"/>
      <c r="K170" s="378"/>
      <c r="L170" s="378"/>
      <c r="M170" s="324"/>
      <c r="N170" s="1569"/>
      <c r="O170" s="1569"/>
      <c r="V170" s="1176"/>
      <c r="W170" s="3355"/>
      <c r="X170" s="3356"/>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295293.69230769231</v>
      </c>
      <c r="K171" s="1807"/>
      <c r="L171" s="1808"/>
      <c r="M171" s="324"/>
      <c r="N171" s="1569"/>
      <c r="O171" s="1569"/>
      <c r="V171" s="3354"/>
      <c r="W171" s="3355"/>
      <c r="X171" s="3356"/>
    </row>
    <row r="172" spans="1:24" s="305" customFormat="1" ht="3" customHeight="1">
      <c r="J172" s="378"/>
      <c r="K172" s="378"/>
      <c r="L172" s="378"/>
      <c r="M172" s="324"/>
      <c r="N172" s="1569"/>
      <c r="O172" s="1569"/>
      <c r="V172" s="1176"/>
      <c r="W172" s="3397"/>
      <c r="X172" s="3398"/>
    </row>
    <row r="173" spans="1:24" s="305" customFormat="1" ht="16.149999999999999" customHeight="1">
      <c r="B173" s="307" t="s">
        <v>351</v>
      </c>
      <c r="J173" s="3420">
        <v>295000</v>
      </c>
      <c r="K173" s="3421"/>
      <c r="L173" s="3422"/>
      <c r="M173" s="379" t="str">
        <f>IF(J171=0,"",IF(J173&gt;J171,"ALLOCATION CANNOT EXCEED MAXIMUM - REVISE REQUEST!",""))</f>
        <v/>
      </c>
      <c r="N173" s="1569"/>
      <c r="O173" s="1569"/>
      <c r="V173" s="3354"/>
      <c r="W173" s="3355"/>
      <c r="X173" s="3356"/>
    </row>
    <row r="174" spans="1:24" s="305" customFormat="1" ht="3" customHeight="1">
      <c r="J174" s="378"/>
      <c r="K174" s="378"/>
      <c r="L174" s="378"/>
      <c r="M174" s="324"/>
      <c r="N174" s="1569"/>
      <c r="O174" s="1569"/>
      <c r="V174" s="1176"/>
      <c r="W174" s="3397"/>
      <c r="X174" s="3398"/>
    </row>
    <row r="175" spans="1:24" s="305" customFormat="1" ht="16.149999999999999" customHeight="1">
      <c r="A175" s="438" t="s">
        <v>1804</v>
      </c>
      <c r="B175" s="438" t="s">
        <v>2636</v>
      </c>
      <c r="D175" s="324"/>
      <c r="E175" s="324"/>
      <c r="F175" s="310"/>
      <c r="J175" s="1819">
        <f>IF(J173="",0,+MIN(J171,J173))</f>
        <v>295000</v>
      </c>
      <c r="K175" s="1820"/>
      <c r="L175" s="1821"/>
      <c r="N175" s="3423"/>
      <c r="O175" s="3423"/>
      <c r="P175" s="3423"/>
      <c r="Q175" s="3423"/>
      <c r="R175" s="3423"/>
      <c r="S175" s="3423"/>
      <c r="T175" s="3423"/>
      <c r="V175" s="3354"/>
      <c r="W175" s="3355"/>
      <c r="X175" s="3356"/>
    </row>
    <row r="176" spans="1:24" ht="3" customHeight="1"/>
    <row r="177" spans="1:24" ht="6" customHeight="1"/>
    <row r="178" spans="1:24" ht="12" customHeight="1">
      <c r="A178" s="307" t="s">
        <v>1806</v>
      </c>
      <c r="B178" s="333" t="s">
        <v>576</v>
      </c>
      <c r="N178" s="307" t="s">
        <v>534</v>
      </c>
      <c r="O178" s="307" t="s">
        <v>80</v>
      </c>
    </row>
    <row r="179" spans="1:24" ht="352.5" customHeight="1">
      <c r="A179" s="3312" t="s">
        <v>4717</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730" t="s">
        <v>2709</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iFG6a2iX3svIp2C6bFrV/SfaLwMMUQ3a+H3bD8LIaVOjfDcc5T3fPqBaDEKkBeuS8rB3yiNVqxRBVkOPUmzmTA==" saltValue="GVdhJqTR/TA/mWEndLC5Tw=="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12" stopIfTrue="1" operator="greaterThan">
      <formula>$J$171</formula>
    </cfRule>
  </conditionalFormatting>
  <conditionalFormatting sqref="G34">
    <cfRule type="cellIs" priority="13" stopIfTrue="1" operator="equal">
      <formula>"""Exceeds the limit! Re-check amounts."""</formula>
    </cfRule>
  </conditionalFormatting>
  <conditionalFormatting sqref="J35:K35 M35:N35">
    <cfRule type="cellIs" dxfId="94" priority="11" operator="greaterThan">
      <formula>$G$35</formula>
    </cfRule>
  </conditionalFormatting>
  <conditionalFormatting sqref="J36:K37 M36:N37">
    <cfRule type="cellIs" dxfId="93" priority="10" operator="greaterThan">
      <formula>$G$37</formula>
    </cfRule>
  </conditionalFormatting>
  <conditionalFormatting sqref="G35">
    <cfRule type="cellIs" dxfId="92" priority="14" stopIfTrue="1" operator="greaterThan">
      <formula>$E35</formula>
    </cfRule>
  </conditionalFormatting>
  <conditionalFormatting sqref="G36">
    <cfRule type="cellIs" dxfId="91" priority="15" stopIfTrue="1" operator="greaterThan">
      <formula>$E$36</formula>
    </cfRule>
  </conditionalFormatting>
  <conditionalFormatting sqref="G37">
    <cfRule type="cellIs" dxfId="90" priority="16" operator="greaterThan">
      <formula>$E$37</formula>
    </cfRule>
  </conditionalFormatting>
  <conditionalFormatting sqref="P35">
    <cfRule type="cellIs" dxfId="89" priority="1" stopIfTrue="1" operator="greaterThan">
      <formula>$E35</formula>
    </cfRule>
  </conditionalFormatting>
  <conditionalFormatting sqref="P36">
    <cfRule type="cellIs" dxfId="88" priority="2" stopIfTrue="1" operator="greaterThan">
      <formula>$E$36</formula>
    </cfRule>
  </conditionalFormatting>
  <conditionalFormatting sqref="P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5"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2018-032 - Hillcrest Apartments  -  Dublin  -  Laurens,  County</v>
      </c>
      <c r="B1" s="1831"/>
      <c r="C1" s="1831"/>
      <c r="D1" s="1831"/>
      <c r="E1" s="1831"/>
      <c r="F1" s="1831"/>
      <c r="G1" s="1831"/>
      <c r="H1" s="1831"/>
      <c r="I1" s="1008"/>
      <c r="J1" s="1008"/>
      <c r="K1" s="1008"/>
      <c r="L1" s="1008"/>
      <c r="M1" s="1008"/>
      <c r="N1" s="1008"/>
    </row>
    <row r="2" spans="1:14" ht="9" customHeight="1"/>
    <row r="3" spans="1:14" ht="57" customHeight="1">
      <c r="A3" s="3341" t="s">
        <v>3742</v>
      </c>
      <c r="B3" s="3342"/>
      <c r="C3" s="3342"/>
      <c r="D3" s="3342"/>
      <c r="E3" s="3342"/>
      <c r="F3" s="3342"/>
      <c r="G3" s="3342"/>
      <c r="H3" s="3343"/>
    </row>
    <row r="4" spans="1:14" ht="6" customHeight="1"/>
    <row r="5" spans="1:14" ht="38.25" customHeight="1">
      <c r="A5" s="1832" t="s">
        <v>3862</v>
      </c>
      <c r="B5" s="1832"/>
      <c r="C5" s="1832"/>
      <c r="D5" s="1832"/>
      <c r="F5" s="1009" t="s">
        <v>3733</v>
      </c>
      <c r="G5" s="592"/>
      <c r="H5" s="1009" t="s">
        <v>3734</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3" t="str">
        <f>'Part IV-A-Uses of Funds'!$C$14</f>
        <v>Property Needs Assessment</v>
      </c>
      <c r="B9" s="1834"/>
      <c r="C9" s="1834"/>
      <c r="D9" s="1835"/>
      <c r="F9" s="3345" t="s">
        <v>4691</v>
      </c>
      <c r="G9" s="1011"/>
      <c r="H9" s="3345" t="s">
        <v>4692</v>
      </c>
    </row>
    <row r="10" spans="1:14" s="3344" customFormat="1" ht="41.25" customHeight="1">
      <c r="A10" s="1836"/>
      <c r="B10" s="1837"/>
      <c r="C10" s="1837"/>
      <c r="D10" s="1838"/>
      <c r="F10" s="3346"/>
      <c r="G10" s="1011"/>
      <c r="H10" s="3346"/>
    </row>
    <row r="11" spans="1:14" s="3344" customFormat="1" ht="4.5" customHeight="1">
      <c r="F11" s="3346"/>
      <c r="G11" s="1011"/>
      <c r="H11" s="3346"/>
    </row>
    <row r="12" spans="1:14" s="3344" customFormat="1" ht="15" customHeight="1">
      <c r="A12" s="1018" t="s">
        <v>3736</v>
      </c>
      <c r="B12" s="1017">
        <f>'Part IV-A-Uses of Funds'!$G$14</f>
        <v>5000</v>
      </c>
      <c r="C12" s="1018" t="s">
        <v>1802</v>
      </c>
      <c r="D12" s="1017">
        <f>'Part IV-A-Uses of Funds'!$J$14+'Part IV-A-Uses of Funds'!$M$14+'Part IV-A-Uses of Funds'!$P$14</f>
        <v>5000</v>
      </c>
      <c r="F12" s="3346"/>
      <c r="G12" s="1011"/>
      <c r="H12" s="3346"/>
    </row>
    <row r="13" spans="1:14" s="3344" customFormat="1" ht="6" customHeight="1">
      <c r="A13" s="1011"/>
      <c r="B13" s="1012"/>
      <c r="C13" s="1011"/>
      <c r="D13" s="1011"/>
      <c r="F13" s="3346"/>
      <c r="G13" s="1013"/>
      <c r="H13" s="3346"/>
    </row>
    <row r="14" spans="1:14" s="3344" customFormat="1" ht="41.25" customHeight="1">
      <c r="A14" s="1833" t="str">
        <f>'Part IV-A-Uses of Funds'!$C$15</f>
        <v>&lt;&lt; Enter description here; provide detail &amp; justification in tab Part IV-b &gt;&gt;</v>
      </c>
      <c r="B14" s="1834"/>
      <c r="C14" s="1834"/>
      <c r="D14" s="1835"/>
      <c r="F14" s="3346"/>
      <c r="G14" s="1011"/>
      <c r="H14" s="3346"/>
    </row>
    <row r="15" spans="1:14" s="3344" customFormat="1" ht="41.25" customHeight="1">
      <c r="A15" s="1836"/>
      <c r="B15" s="1837"/>
      <c r="C15" s="1837"/>
      <c r="D15" s="1838"/>
      <c r="F15" s="3346"/>
      <c r="G15" s="1011"/>
      <c r="H15" s="3346"/>
    </row>
    <row r="16" spans="1:14" s="3344" customFormat="1" ht="4.5" customHeight="1">
      <c r="F16" s="3346"/>
      <c r="G16" s="1011"/>
      <c r="H16" s="3346"/>
    </row>
    <row r="17" spans="1:8" s="3344" customFormat="1" ht="15" customHeight="1">
      <c r="A17" s="1018" t="s">
        <v>3736</v>
      </c>
      <c r="B17" s="1017">
        <f>'Part IV-A-Uses of Funds'!$G$15</f>
        <v>0</v>
      </c>
      <c r="C17" s="1018" t="s">
        <v>1802</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3" t="str">
        <f>'Part IV-A-Uses of Funds'!$C$16</f>
        <v>&lt;&lt; Enter description here; provide detail &amp; justification in tab Part IV-b &gt;&gt;</v>
      </c>
      <c r="B19" s="1834"/>
      <c r="C19" s="1834"/>
      <c r="D19" s="1835"/>
      <c r="F19" s="3346"/>
      <c r="G19" s="1011"/>
      <c r="H19" s="3346"/>
    </row>
    <row r="20" spans="1:8" s="3344" customFormat="1" ht="41.25" customHeight="1">
      <c r="A20" s="1836"/>
      <c r="B20" s="1837"/>
      <c r="C20" s="1837"/>
      <c r="D20" s="1838"/>
      <c r="F20" s="3346"/>
      <c r="G20" s="1011"/>
      <c r="H20" s="3346"/>
    </row>
    <row r="21" spans="1:8" s="3344" customFormat="1" ht="4.5" customHeight="1">
      <c r="F21" s="3346"/>
      <c r="G21" s="1011"/>
      <c r="H21" s="3346"/>
    </row>
    <row r="22" spans="1:8" s="3344" customFormat="1" ht="15" customHeight="1">
      <c r="A22" s="1018" t="s">
        <v>3736</v>
      </c>
      <c r="B22" s="1017">
        <f>'Part IV-A-Uses of Funds'!$G$16</f>
        <v>0</v>
      </c>
      <c r="C22" s="1018" t="s">
        <v>1802</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3735</v>
      </c>
      <c r="B24" s="1011"/>
      <c r="C24" s="1011"/>
      <c r="D24" s="1011"/>
      <c r="E24" s="1011"/>
      <c r="F24" s="1011"/>
      <c r="G24" s="1011"/>
    </row>
    <row r="25" spans="1:8" s="3344" customFormat="1" ht="41.25" customHeight="1">
      <c r="A25" s="1833" t="str">
        <f>'Part IV-A-Uses of Funds'!$C$41</f>
        <v>&lt;&lt; Enter description here; provide detail &amp; justification in tab Part IV-b &gt;&gt;</v>
      </c>
      <c r="B25" s="1834"/>
      <c r="C25" s="1834"/>
      <c r="D25" s="1835"/>
      <c r="E25" s="1011"/>
      <c r="F25" s="3348"/>
      <c r="G25" s="1011"/>
      <c r="H25" s="3348"/>
    </row>
    <row r="26" spans="1:8" s="3344" customFormat="1" ht="41.25" customHeight="1">
      <c r="A26" s="1836"/>
      <c r="B26" s="1837"/>
      <c r="C26" s="1837"/>
      <c r="D26" s="1838"/>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3736</v>
      </c>
      <c r="B28" s="1017">
        <f>'Part IV-A-Uses of Funds'!$G$41</f>
        <v>0</v>
      </c>
      <c r="C28" s="1018" t="s">
        <v>1802</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729</v>
      </c>
      <c r="B30" s="1011"/>
      <c r="C30" s="1011"/>
      <c r="D30" s="1011"/>
      <c r="E30" s="1011"/>
      <c r="F30" s="1011"/>
      <c r="G30" s="1011"/>
    </row>
    <row r="31" spans="1:8" s="3344" customFormat="1" ht="41.25" customHeight="1">
      <c r="A31" s="1839" t="str">
        <f>'Part IV-A-Uses of Funds'!$C$62</f>
        <v>&lt;&lt; Enter description here; provide detail &amp; justification in tab Part IV-b &gt;&gt;</v>
      </c>
      <c r="B31" s="1840"/>
      <c r="C31" s="1840"/>
      <c r="D31" s="1841"/>
      <c r="E31" s="1011"/>
      <c r="F31" s="3345"/>
      <c r="G31" s="1011"/>
      <c r="H31" s="3345"/>
    </row>
    <row r="32" spans="1:8" s="3344" customFormat="1" ht="41.25" customHeight="1">
      <c r="A32" s="1836"/>
      <c r="B32" s="1837"/>
      <c r="C32" s="1837"/>
      <c r="D32" s="1838"/>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3736</v>
      </c>
      <c r="B34" s="1017">
        <f>'Part IV-A-Uses of Funds'!$G$62</f>
        <v>0</v>
      </c>
      <c r="C34" s="1018" t="s">
        <v>1802</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9" t="str">
        <f>'Part IV-A-Uses of Funds'!$C$63</f>
        <v>&lt;&lt; Enter description here; provide detail &amp; justification in tab Part IV-b &gt;&gt;</v>
      </c>
      <c r="B36" s="1840"/>
      <c r="C36" s="1840"/>
      <c r="D36" s="1841"/>
      <c r="E36" s="1011"/>
      <c r="F36" s="3346"/>
      <c r="G36" s="1011"/>
      <c r="H36" s="3346"/>
    </row>
    <row r="37" spans="1:8" s="3344" customFormat="1" ht="41.25" customHeight="1">
      <c r="A37" s="1836"/>
      <c r="B37" s="1837"/>
      <c r="C37" s="1837"/>
      <c r="D37" s="1838"/>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3736</v>
      </c>
      <c r="B39" s="1017">
        <f>'Part IV-A-Uses of Funds'!$G$63</f>
        <v>0</v>
      </c>
      <c r="C39" s="1018" t="s">
        <v>1802</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9" t="str">
        <f>'Part IV-A-Uses of Funds'!$C$76</f>
        <v>Raymond James Fee</v>
      </c>
      <c r="B42" s="1840"/>
      <c r="C42" s="1840"/>
      <c r="D42" s="1841"/>
      <c r="F42" s="3348" t="s">
        <v>4693</v>
      </c>
      <c r="G42" s="1011"/>
      <c r="H42" s="3348" t="s">
        <v>4694</v>
      </c>
    </row>
    <row r="43" spans="1:8" s="3344" customFormat="1" ht="41.25" customHeight="1">
      <c r="A43" s="1836"/>
      <c r="B43" s="1837"/>
      <c r="C43" s="1837"/>
      <c r="D43" s="1838"/>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3736</v>
      </c>
      <c r="B45" s="1017">
        <f>'Part IV-A-Uses of Funds'!$G$76</f>
        <v>50000</v>
      </c>
      <c r="C45" s="1018" t="s">
        <v>1802</v>
      </c>
      <c r="D45" s="1017">
        <f>'Part IV-A-Uses of Funds'!$J$76+'Part IV-A-Uses of Funds'!$M$76+'Part IV-A-Uses of Funds'!$P$76</f>
        <v>50000</v>
      </c>
      <c r="E45" s="1011"/>
      <c r="F45" s="3349"/>
      <c r="G45" s="1011"/>
      <c r="H45" s="3349"/>
    </row>
    <row r="46" spans="1:8" s="3344" customFormat="1" ht="6" customHeight="1">
      <c r="A46" s="1011"/>
      <c r="B46" s="1012"/>
      <c r="C46" s="1011"/>
      <c r="D46" s="1011"/>
      <c r="E46" s="1011"/>
      <c r="F46" s="3350"/>
      <c r="G46" s="1013"/>
      <c r="H46" s="3350"/>
    </row>
    <row r="47" spans="1:8" s="3344" customFormat="1">
      <c r="A47" s="1019" t="s">
        <v>731</v>
      </c>
      <c r="B47" s="1011"/>
      <c r="C47" s="1011"/>
      <c r="D47" s="1011"/>
      <c r="E47" s="1011"/>
      <c r="F47" s="1011"/>
      <c r="G47" s="1011"/>
    </row>
    <row r="48" spans="1:8" s="3344" customFormat="1" ht="41.25" customHeight="1">
      <c r="A48" s="1839" t="str">
        <f>'Part IV-A-Uses of Funds'!$C$90</f>
        <v>&lt;&lt; Enter description here; provide detail &amp; justification in tab Part IV-b &gt;&gt;</v>
      </c>
      <c r="B48" s="1840"/>
      <c r="C48" s="1840"/>
      <c r="D48" s="1841"/>
      <c r="F48" s="3348"/>
      <c r="G48" s="1011"/>
    </row>
    <row r="49" spans="1:7" s="3344" customFormat="1" ht="41.25" customHeight="1">
      <c r="A49" s="1836"/>
      <c r="B49" s="1837"/>
      <c r="C49" s="1837"/>
      <c r="D49" s="1838"/>
      <c r="E49" s="1011"/>
      <c r="F49" s="3349"/>
      <c r="G49" s="1011"/>
    </row>
    <row r="50" spans="1:7" s="3344" customFormat="1" ht="3" customHeight="1">
      <c r="A50" s="1011"/>
      <c r="B50" s="1011"/>
      <c r="C50" s="1011"/>
      <c r="D50" s="1011"/>
      <c r="E50" s="1011"/>
      <c r="F50" s="3349"/>
      <c r="G50" s="1011"/>
    </row>
    <row r="51" spans="1:7" s="3344" customFormat="1" ht="13.5" customHeight="1">
      <c r="A51" s="1018" t="s">
        <v>3736</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3737</v>
      </c>
      <c r="B53" s="1011"/>
      <c r="C53" s="1011"/>
      <c r="D53" s="1011"/>
      <c r="E53" s="1011"/>
      <c r="F53" s="1011"/>
      <c r="G53" s="1011"/>
    </row>
    <row r="54" spans="1:7" s="3344" customFormat="1" ht="41.25" customHeight="1">
      <c r="A54" s="1839" t="str">
        <f>'Part IV-A-Uses of Funds'!$C$103</f>
        <v>&lt;&lt; Enter description here; provide detail &amp; justification in tab Part IV-b &gt;&gt;</v>
      </c>
      <c r="B54" s="1840"/>
      <c r="C54" s="1840"/>
      <c r="D54" s="1841"/>
      <c r="F54" s="3345"/>
      <c r="G54" s="1011"/>
    </row>
    <row r="55" spans="1:7" s="3344" customFormat="1" ht="41.25" customHeight="1">
      <c r="A55" s="1836"/>
      <c r="B55" s="1837"/>
      <c r="C55" s="1837"/>
      <c r="D55" s="1838"/>
      <c r="E55" s="1011"/>
      <c r="F55" s="3346"/>
      <c r="G55" s="1011"/>
    </row>
    <row r="56" spans="1:7" s="3344" customFormat="1" ht="3" customHeight="1">
      <c r="A56" s="1011"/>
      <c r="B56" s="1011"/>
      <c r="C56" s="1011"/>
      <c r="D56" s="1011"/>
      <c r="E56" s="1011"/>
      <c r="F56" s="3346"/>
      <c r="G56" s="1011"/>
    </row>
    <row r="57" spans="1:7" s="3344" customFormat="1" ht="25.5">
      <c r="A57" s="1018" t="s">
        <v>3736</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9" t="str">
        <f>'Part IV-A-Uses of Funds'!$C$104</f>
        <v>&lt;&lt; Enter description here; provide detail &amp; justification in tab Part IV-b &gt;&gt;</v>
      </c>
      <c r="B59" s="1840"/>
      <c r="C59" s="1840"/>
      <c r="D59" s="1841"/>
      <c r="F59" s="3346"/>
      <c r="G59" s="1011"/>
    </row>
    <row r="60" spans="1:7" s="3344" customFormat="1" ht="41.25" customHeight="1">
      <c r="A60" s="1836"/>
      <c r="B60" s="1837"/>
      <c r="C60" s="1837"/>
      <c r="D60" s="1838"/>
      <c r="E60" s="1011"/>
      <c r="F60" s="3346"/>
      <c r="G60" s="1011"/>
    </row>
    <row r="61" spans="1:7" s="3344" customFormat="1" ht="3" customHeight="1">
      <c r="A61" s="1011"/>
      <c r="B61" s="1011"/>
      <c r="C61" s="1011"/>
      <c r="D61" s="1011"/>
      <c r="E61" s="1011"/>
      <c r="F61" s="3346"/>
      <c r="G61" s="1011"/>
    </row>
    <row r="62" spans="1:7" s="3344" customFormat="1" ht="25.5">
      <c r="A62" s="1018" t="s">
        <v>3736</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3738</v>
      </c>
      <c r="B64" s="1011"/>
      <c r="C64" s="1011"/>
      <c r="D64" s="1011"/>
      <c r="E64" s="1011"/>
      <c r="F64" s="1011"/>
      <c r="G64" s="1011"/>
    </row>
    <row r="65" spans="1:8" s="3344" customFormat="1" ht="41.25" customHeight="1">
      <c r="A65" s="1839" t="str">
        <f>'Part IV-A-Uses of Funds'!$C$110</f>
        <v>&lt;&lt; Enter description here; provide detail &amp; justification in tab Part IV-b &gt;&gt;</v>
      </c>
      <c r="B65" s="1840"/>
      <c r="C65" s="1840"/>
      <c r="D65" s="1841"/>
      <c r="F65" s="3348"/>
      <c r="G65" s="1011"/>
    </row>
    <row r="66" spans="1:8" s="3344" customFormat="1" ht="41.25" customHeight="1">
      <c r="A66" s="1836"/>
      <c r="B66" s="1837"/>
      <c r="C66" s="1837"/>
      <c r="D66" s="1838"/>
      <c r="E66" s="1011"/>
      <c r="F66" s="3349"/>
      <c r="G66" s="1011"/>
    </row>
    <row r="67" spans="1:8" s="3344" customFormat="1" ht="3" customHeight="1">
      <c r="A67" s="1011"/>
      <c r="B67" s="1011"/>
      <c r="C67" s="1011"/>
      <c r="D67" s="1011"/>
      <c r="E67" s="1011"/>
      <c r="F67" s="3349"/>
      <c r="G67" s="1011"/>
    </row>
    <row r="68" spans="1:8" s="3344" customFormat="1" ht="25.5">
      <c r="A68" s="1018" t="s">
        <v>3736</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1320</v>
      </c>
      <c r="B70" s="1011"/>
      <c r="C70" s="1011"/>
      <c r="D70" s="1011"/>
      <c r="E70" s="1011"/>
      <c r="F70" s="1011"/>
      <c r="G70" s="1011"/>
    </row>
    <row r="71" spans="1:8" s="3344" customFormat="1" ht="41.25" customHeight="1">
      <c r="A71" s="1839">
        <f>'Part IV-A-Uses of Funds'!$C$125</f>
        <v>0</v>
      </c>
      <c r="B71" s="1840"/>
      <c r="C71" s="1840"/>
      <c r="D71" s="1841"/>
      <c r="F71" s="3348"/>
      <c r="G71" s="1011"/>
      <c r="H71" s="3348"/>
    </row>
    <row r="72" spans="1:8" s="3344" customFormat="1" ht="41.25" customHeight="1">
      <c r="A72" s="1836"/>
      <c r="B72" s="1837"/>
      <c r="C72" s="1837"/>
      <c r="D72" s="1838"/>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3736</v>
      </c>
      <c r="B74" s="1017">
        <f>'Part IV-A-Uses of Funds'!$G$125</f>
        <v>0</v>
      </c>
      <c r="C74" s="1018" t="s">
        <v>1802</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3739</v>
      </c>
      <c r="B76" s="1012"/>
      <c r="C76" s="1011"/>
      <c r="D76" s="1011"/>
      <c r="E76" s="1011"/>
      <c r="F76" s="1011"/>
      <c r="G76" s="1013"/>
    </row>
    <row r="77" spans="1:8" s="3344" customFormat="1" ht="41.25" customHeight="1">
      <c r="A77" s="1839" t="str">
        <f>'Part IV-A-Uses of Funds'!$C$129</f>
        <v>&lt;&lt; Enter description here; provide detail &amp; justification in tab Part IV-b &gt;&gt;</v>
      </c>
      <c r="B77" s="1840"/>
      <c r="C77" s="1840"/>
      <c r="D77" s="1841"/>
      <c r="F77" s="3348"/>
      <c r="G77" s="1011"/>
      <c r="H77" s="3348"/>
    </row>
    <row r="78" spans="1:8" s="3344" customFormat="1" ht="41.25" customHeight="1">
      <c r="A78" s="1836"/>
      <c r="B78" s="1837"/>
      <c r="C78" s="1837"/>
      <c r="D78" s="1838"/>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3736</v>
      </c>
      <c r="B80" s="1017">
        <f>'Part IV-A-Uses of Funds'!$G$129</f>
        <v>0</v>
      </c>
      <c r="C80" s="1018" t="s">
        <v>1802</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KB02+UuTwJoJv6hBYTLEpBJtbOx4QrxyJTgXl/mLaqXjLtEZCcS+TiB4faGV8FJIPlw7fiGQkC8xsb4Ooxq/bQ==" saltValue="lNzaQyInSr4iqgBv3BgsL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39" zoomScale="120" zoomScaleNormal="120" workbookViewId="0">
      <selection activeCell="A5"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2018-032 Hillcrest Apartments, Dublin, Laurens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519</v>
      </c>
      <c r="I3" s="1583" t="str">
        <f>VLOOKUP('Part I-Project Information'!$J$39,'DCA Underwriting Assumptions'!$G$155:$H$314,2)</f>
        <v>North</v>
      </c>
    </row>
    <row r="4" spans="1:20" s="8" customFormat="1" ht="6" customHeight="1"/>
    <row r="5" spans="1:20">
      <c r="A5" s="260" t="s">
        <v>3836</v>
      </c>
    </row>
    <row r="6" spans="1:20" ht="6" customHeight="1">
      <c r="A6" s="8"/>
    </row>
    <row r="7" spans="1:20" s="8" customFormat="1">
      <c r="A7" s="14" t="s">
        <v>621</v>
      </c>
      <c r="B7" s="14" t="s">
        <v>2242</v>
      </c>
      <c r="F7" s="8" t="s">
        <v>2535</v>
      </c>
      <c r="I7" s="3314" t="s">
        <v>258</v>
      </c>
      <c r="J7" s="3315"/>
      <c r="K7" s="3315"/>
      <c r="L7" s="3315"/>
      <c r="M7" s="3316"/>
    </row>
    <row r="8" spans="1:20" s="8" customFormat="1" ht="13.15" customHeight="1">
      <c r="A8" s="14"/>
      <c r="F8" s="8" t="s">
        <v>641</v>
      </c>
      <c r="H8" s="28"/>
      <c r="I8" s="3317">
        <v>43101</v>
      </c>
      <c r="J8" s="3318"/>
      <c r="K8" s="63" t="s">
        <v>544</v>
      </c>
      <c r="L8" s="3319" t="s">
        <v>4640</v>
      </c>
      <c r="M8" s="3320"/>
    </row>
    <row r="9" spans="1:20" s="8" customFormat="1" ht="4.5" customHeight="1">
      <c r="A9" s="14"/>
    </row>
    <row r="10" spans="1:20" s="14" customFormat="1">
      <c r="B10" s="254"/>
      <c r="C10" s="254"/>
      <c r="D10" s="254"/>
      <c r="E10" s="254"/>
      <c r="F10" s="1844" t="s">
        <v>614</v>
      </c>
      <c r="G10" s="1844"/>
      <c r="I10" s="1845" t="s">
        <v>202</v>
      </c>
      <c r="J10" s="1845"/>
      <c r="K10" s="1845"/>
      <c r="L10" s="1845"/>
      <c r="M10" s="1845"/>
    </row>
    <row r="11" spans="1:20" s="14" customFormat="1">
      <c r="B11" s="254" t="s">
        <v>805</v>
      </c>
      <c r="D11" s="254" t="s">
        <v>1610</v>
      </c>
      <c r="F11" s="1582" t="s">
        <v>647</v>
      </c>
      <c r="G11" s="1582" t="s">
        <v>1863</v>
      </c>
      <c r="I11" s="255" t="s">
        <v>572</v>
      </c>
      <c r="J11" s="256">
        <v>1</v>
      </c>
      <c r="K11" s="256">
        <v>2</v>
      </c>
      <c r="L11" s="256">
        <v>3</v>
      </c>
      <c r="M11" s="256">
        <v>4</v>
      </c>
    </row>
    <row r="12" spans="1:20" s="8" customFormat="1" ht="12" customHeight="1">
      <c r="B12" s="1118" t="s">
        <v>1865</v>
      </c>
      <c r="C12" s="1119"/>
      <c r="D12" s="3321" t="s">
        <v>4603</v>
      </c>
      <c r="E12" s="3322"/>
      <c r="F12" s="3323" t="s">
        <v>443</v>
      </c>
      <c r="G12" s="3323"/>
      <c r="H12" s="1120"/>
      <c r="I12" s="3324"/>
      <c r="J12" s="3324">
        <v>9</v>
      </c>
      <c r="K12" s="3324">
        <v>11</v>
      </c>
      <c r="L12" s="3324">
        <v>16</v>
      </c>
      <c r="M12" s="3324"/>
      <c r="O12" s="1846" t="s">
        <v>3861</v>
      </c>
      <c r="P12" s="1846"/>
    </row>
    <row r="13" spans="1:20" s="8" customFormat="1" ht="12" customHeight="1">
      <c r="B13" s="1112" t="s">
        <v>1608</v>
      </c>
      <c r="C13" s="1109"/>
      <c r="D13" s="3325" t="s">
        <v>1607</v>
      </c>
      <c r="E13" s="3326"/>
      <c r="F13" s="3327" t="s">
        <v>443</v>
      </c>
      <c r="G13" s="3327"/>
      <c r="H13" s="1117"/>
      <c r="I13" s="3328"/>
      <c r="J13" s="3328">
        <v>8</v>
      </c>
      <c r="K13" s="3328">
        <v>10</v>
      </c>
      <c r="L13" s="3329">
        <v>12</v>
      </c>
      <c r="M13" s="3329"/>
      <c r="O13" s="1846"/>
      <c r="P13" s="1846"/>
    </row>
    <row r="14" spans="1:20" s="8" customFormat="1" ht="12" customHeight="1">
      <c r="B14" s="1115" t="s">
        <v>1609</v>
      </c>
      <c r="C14" s="1114"/>
      <c r="D14" s="3325" t="s">
        <v>1607</v>
      </c>
      <c r="E14" s="3326"/>
      <c r="F14" s="3327" t="s">
        <v>443</v>
      </c>
      <c r="G14" s="3327"/>
      <c r="H14" s="257"/>
      <c r="I14" s="3328"/>
      <c r="J14" s="3328">
        <v>14</v>
      </c>
      <c r="K14" s="3328">
        <v>19</v>
      </c>
      <c r="L14" s="3329">
        <v>24</v>
      </c>
      <c r="M14" s="3329"/>
      <c r="O14" s="1846"/>
      <c r="P14" s="1846"/>
    </row>
    <row r="15" spans="1:20" s="8" customFormat="1" ht="12" customHeight="1">
      <c r="B15" s="1110" t="s">
        <v>471</v>
      </c>
      <c r="C15" s="258"/>
      <c r="D15" s="1110" t="s">
        <v>1607</v>
      </c>
      <c r="E15" s="258"/>
      <c r="F15" s="3327" t="s">
        <v>443</v>
      </c>
      <c r="G15" s="3327"/>
      <c r="H15" s="1116"/>
      <c r="I15" s="3328"/>
      <c r="J15" s="3328">
        <v>7</v>
      </c>
      <c r="K15" s="3328">
        <v>9</v>
      </c>
      <c r="L15" s="3329">
        <v>12</v>
      </c>
      <c r="M15" s="3329"/>
      <c r="O15" s="1846"/>
      <c r="P15" s="1846"/>
    </row>
    <row r="16" spans="1:20" s="8" customFormat="1" ht="12" customHeight="1">
      <c r="B16" s="1111" t="s">
        <v>3833</v>
      </c>
      <c r="C16" s="1109"/>
      <c r="D16" s="1112" t="s">
        <v>1607</v>
      </c>
      <c r="E16" s="1109"/>
      <c r="F16" s="3327" t="s">
        <v>443</v>
      </c>
      <c r="G16" s="3327"/>
      <c r="H16" s="1117"/>
      <c r="I16" s="3328"/>
      <c r="J16" s="3328"/>
      <c r="K16" s="3328"/>
      <c r="L16" s="3329"/>
      <c r="M16" s="3329"/>
      <c r="O16" s="1846"/>
      <c r="P16" s="1846"/>
    </row>
    <row r="17" spans="1:19" s="8" customFormat="1" ht="12" customHeight="1">
      <c r="B17" s="1111" t="s">
        <v>3834</v>
      </c>
      <c r="C17" s="1109"/>
      <c r="D17" s="1112" t="s">
        <v>1607</v>
      </c>
      <c r="E17" s="1109"/>
      <c r="F17" s="3327"/>
      <c r="G17" s="3327"/>
      <c r="H17" s="1117"/>
      <c r="I17" s="3328"/>
      <c r="J17" s="3328"/>
      <c r="K17" s="3328"/>
      <c r="L17" s="3329"/>
      <c r="M17" s="3329"/>
      <c r="O17" s="1846"/>
      <c r="P17" s="1846"/>
    </row>
    <row r="18" spans="1:19" s="8" customFormat="1" ht="12" customHeight="1">
      <c r="B18" s="1113" t="s">
        <v>3835</v>
      </c>
      <c r="C18" s="1114"/>
      <c r="D18" s="1115" t="s">
        <v>1607</v>
      </c>
      <c r="E18" s="1109"/>
      <c r="F18" s="3327" t="s">
        <v>443</v>
      </c>
      <c r="G18" s="3327"/>
      <c r="H18" s="257"/>
      <c r="I18" s="3328"/>
      <c r="J18" s="3328">
        <v>22</v>
      </c>
      <c r="K18" s="3328">
        <v>28</v>
      </c>
      <c r="L18" s="3329">
        <v>34</v>
      </c>
      <c r="M18" s="3329"/>
      <c r="O18" s="1846"/>
      <c r="P18" s="1846"/>
    </row>
    <row r="19" spans="1:19" s="8" customFormat="1" ht="12" customHeight="1">
      <c r="B19" s="1110" t="s">
        <v>1381</v>
      </c>
      <c r="C19" s="258"/>
      <c r="D19" s="668" t="s">
        <v>3491</v>
      </c>
      <c r="E19" s="3330" t="s">
        <v>3010</v>
      </c>
      <c r="F19" s="3327"/>
      <c r="G19" s="3327" t="s">
        <v>443</v>
      </c>
      <c r="H19" s="1116"/>
      <c r="I19" s="3328"/>
      <c r="J19" s="3328"/>
      <c r="K19" s="3328"/>
      <c r="L19" s="3329"/>
      <c r="M19" s="3329"/>
      <c r="O19" s="1846"/>
      <c r="P19" s="1846"/>
    </row>
    <row r="20" spans="1:19" s="8" customFormat="1" ht="12" customHeight="1">
      <c r="B20" s="1121" t="s">
        <v>1864</v>
      </c>
      <c r="C20" s="231"/>
      <c r="D20" s="259"/>
      <c r="E20" s="231"/>
      <c r="F20" s="3331"/>
      <c r="G20" s="3331" t="s">
        <v>443</v>
      </c>
      <c r="H20" s="1122"/>
      <c r="I20" s="3332"/>
      <c r="J20" s="3332"/>
      <c r="K20" s="3332"/>
      <c r="L20" s="3333"/>
      <c r="M20" s="3333"/>
      <c r="O20" s="1846"/>
      <c r="P20" s="1846"/>
    </row>
    <row r="21" spans="1:19" s="8" customFormat="1">
      <c r="B21" s="254" t="s">
        <v>1029</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60</v>
      </c>
      <c r="K21" s="1582">
        <f>IF(SUM(K12:K20)=0,0,IF(OR($D12="&lt;&lt;Select Fuel &gt;&gt;",$D13="&lt;&lt;Select Fuel &gt;&gt;",$D14="&lt;&lt;Select Fuel &gt;&gt;"),"Select Fuel",IF($E19="&lt;Select&gt;","Submeter?",SUM(K12:K20))))</f>
        <v>77</v>
      </c>
      <c r="L21" s="1582">
        <f>IF(SUM(L12:L20)=0,0,IF(OR($D12="&lt;&lt;Select Fuel &gt;&gt;",$D13="&lt;&lt;Select Fuel &gt;&gt;",$D14="&lt;&lt;Select Fuel &gt;&gt;"),"Select Fuel",IF($E19="&lt;Select&gt;","Submeter?",SUM(L12:L20))))</f>
        <v>98</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3334"/>
      <c r="J23" s="3315"/>
      <c r="K23" s="3315"/>
      <c r="L23" s="3315"/>
      <c r="M23" s="3316"/>
    </row>
    <row r="24" spans="1:19" s="8" customFormat="1" ht="13.15" customHeight="1">
      <c r="A24" s="14"/>
      <c r="B24" s="14"/>
      <c r="F24" s="8" t="s">
        <v>641</v>
      </c>
      <c r="H24" s="28"/>
      <c r="I24" s="3317"/>
      <c r="J24" s="3318"/>
      <c r="K24" s="63" t="s">
        <v>544</v>
      </c>
      <c r="L24" s="3319"/>
      <c r="M24" s="3320"/>
    </row>
    <row r="25" spans="1:19" s="8" customFormat="1" ht="4.5" customHeight="1">
      <c r="A25" s="14"/>
    </row>
    <row r="26" spans="1:19" s="14" customFormat="1">
      <c r="B26" s="254"/>
      <c r="C26" s="254"/>
      <c r="D26" s="254"/>
      <c r="E26" s="254"/>
      <c r="F26" s="1844" t="s">
        <v>614</v>
      </c>
      <c r="G26" s="1844"/>
      <c r="I26" s="1845" t="s">
        <v>202</v>
      </c>
      <c r="J26" s="1845"/>
      <c r="K26" s="1845"/>
      <c r="L26" s="1845"/>
      <c r="M26" s="1845"/>
    </row>
    <row r="27" spans="1:19" s="14" customFormat="1">
      <c r="B27" s="254" t="s">
        <v>805</v>
      </c>
      <c r="D27" s="254" t="s">
        <v>1610</v>
      </c>
      <c r="F27" s="1582" t="s">
        <v>647</v>
      </c>
      <c r="G27" s="1582" t="s">
        <v>1863</v>
      </c>
      <c r="I27" s="255" t="s">
        <v>572</v>
      </c>
      <c r="J27" s="256">
        <v>1</v>
      </c>
      <c r="K27" s="256">
        <v>2</v>
      </c>
      <c r="L27" s="256">
        <v>3</v>
      </c>
      <c r="M27" s="256">
        <v>4</v>
      </c>
    </row>
    <row r="28" spans="1:19" s="8" customFormat="1" ht="12" customHeight="1">
      <c r="B28" s="1118" t="s">
        <v>1865</v>
      </c>
      <c r="C28" s="1119"/>
      <c r="D28" s="3321" t="s">
        <v>1832</v>
      </c>
      <c r="E28" s="3322"/>
      <c r="F28" s="3323"/>
      <c r="G28" s="3323"/>
      <c r="H28" s="1120"/>
      <c r="I28" s="3324"/>
      <c r="J28" s="3324"/>
      <c r="K28" s="3324"/>
      <c r="L28" s="3324"/>
      <c r="M28" s="3324"/>
      <c r="O28" s="1846" t="s">
        <v>3861</v>
      </c>
      <c r="P28" s="1846"/>
    </row>
    <row r="29" spans="1:19" s="8" customFormat="1" ht="12" customHeight="1">
      <c r="B29" s="1112" t="s">
        <v>1608</v>
      </c>
      <c r="C29" s="1109"/>
      <c r="D29" s="3325" t="s">
        <v>1832</v>
      </c>
      <c r="E29" s="3326"/>
      <c r="F29" s="3327"/>
      <c r="G29" s="3327"/>
      <c r="H29" s="1117"/>
      <c r="I29" s="3328"/>
      <c r="J29" s="3328"/>
      <c r="K29" s="3328"/>
      <c r="L29" s="3329"/>
      <c r="M29" s="3329"/>
      <c r="O29" s="1846"/>
      <c r="P29" s="1846"/>
    </row>
    <row r="30" spans="1:19" s="8" customFormat="1" ht="12" customHeight="1">
      <c r="B30" s="1115" t="s">
        <v>1609</v>
      </c>
      <c r="C30" s="1114"/>
      <c r="D30" s="3325" t="s">
        <v>1832</v>
      </c>
      <c r="E30" s="3326"/>
      <c r="F30" s="3327"/>
      <c r="G30" s="3327"/>
      <c r="H30" s="257"/>
      <c r="I30" s="3328"/>
      <c r="J30" s="3328"/>
      <c r="K30" s="3328"/>
      <c r="L30" s="3329"/>
      <c r="M30" s="3329"/>
      <c r="O30" s="1846"/>
      <c r="P30" s="1846"/>
    </row>
    <row r="31" spans="1:19" s="8" customFormat="1" ht="12" customHeight="1">
      <c r="B31" s="1110" t="s">
        <v>471</v>
      </c>
      <c r="C31" s="258"/>
      <c r="D31" s="1110" t="s">
        <v>1607</v>
      </c>
      <c r="E31" s="258"/>
      <c r="F31" s="3327"/>
      <c r="G31" s="3327"/>
      <c r="H31" s="1116"/>
      <c r="I31" s="3328"/>
      <c r="J31" s="3328"/>
      <c r="K31" s="3328"/>
      <c r="L31" s="3329"/>
      <c r="M31" s="3329"/>
      <c r="O31" s="1846"/>
      <c r="P31" s="1846"/>
    </row>
    <row r="32" spans="1:19" s="8" customFormat="1" ht="12" customHeight="1">
      <c r="B32" s="1111" t="s">
        <v>3833</v>
      </c>
      <c r="C32" s="1109"/>
      <c r="D32" s="1112" t="s">
        <v>1607</v>
      </c>
      <c r="E32" s="1109"/>
      <c r="F32" s="3327"/>
      <c r="G32" s="3327"/>
      <c r="H32" s="1117"/>
      <c r="I32" s="3328"/>
      <c r="J32" s="3328"/>
      <c r="K32" s="3328"/>
      <c r="L32" s="3329"/>
      <c r="M32" s="3329"/>
      <c r="O32" s="1846"/>
      <c r="P32" s="1846"/>
    </row>
    <row r="33" spans="1:19" s="8" customFormat="1" ht="12" customHeight="1">
      <c r="B33" s="1111" t="s">
        <v>3834</v>
      </c>
      <c r="C33" s="1109"/>
      <c r="D33" s="1112" t="s">
        <v>1607</v>
      </c>
      <c r="E33" s="1109"/>
      <c r="F33" s="3327"/>
      <c r="G33" s="3327"/>
      <c r="H33" s="1117"/>
      <c r="I33" s="3328"/>
      <c r="J33" s="3328"/>
      <c r="K33" s="3328"/>
      <c r="L33" s="3329"/>
      <c r="M33" s="3329"/>
      <c r="O33" s="1846"/>
      <c r="P33" s="1846"/>
    </row>
    <row r="34" spans="1:19" s="8" customFormat="1" ht="12" customHeight="1">
      <c r="B34" s="1113" t="s">
        <v>3835</v>
      </c>
      <c r="C34" s="1114"/>
      <c r="D34" s="1115" t="s">
        <v>1607</v>
      </c>
      <c r="E34" s="1109"/>
      <c r="F34" s="3327"/>
      <c r="G34" s="3327"/>
      <c r="H34" s="257"/>
      <c r="I34" s="3328"/>
      <c r="J34" s="3328"/>
      <c r="K34" s="3328"/>
      <c r="L34" s="3329"/>
      <c r="M34" s="3329"/>
      <c r="O34" s="1846"/>
      <c r="P34" s="1846"/>
    </row>
    <row r="35" spans="1:19" s="8" customFormat="1" ht="12" customHeight="1">
      <c r="B35" s="1110" t="s">
        <v>1381</v>
      </c>
      <c r="C35" s="258"/>
      <c r="D35" s="668" t="s">
        <v>3491</v>
      </c>
      <c r="E35" s="3330" t="s">
        <v>203</v>
      </c>
      <c r="F35" s="3327"/>
      <c r="G35" s="3327"/>
      <c r="H35" s="1116"/>
      <c r="I35" s="3328"/>
      <c r="J35" s="3328"/>
      <c r="K35" s="3328"/>
      <c r="L35" s="3329"/>
      <c r="M35" s="3329"/>
      <c r="O35" s="1846"/>
      <c r="P35" s="1846"/>
    </row>
    <row r="36" spans="1:19" s="8" customFormat="1" ht="12" customHeight="1">
      <c r="B36" s="1121" t="s">
        <v>1864</v>
      </c>
      <c r="C36" s="231"/>
      <c r="D36" s="259"/>
      <c r="E36" s="231"/>
      <c r="F36" s="3331"/>
      <c r="G36" s="3331"/>
      <c r="H36" s="1122"/>
      <c r="I36" s="3332"/>
      <c r="J36" s="3332"/>
      <c r="K36" s="3332"/>
      <c r="L36" s="3333"/>
      <c r="M36" s="3333"/>
      <c r="O36" s="1846"/>
      <c r="P36" s="1846"/>
    </row>
    <row r="37" spans="1:19" s="8" customFormat="1">
      <c r="B37" s="254" t="s">
        <v>1029</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576</v>
      </c>
      <c r="M40" s="28"/>
      <c r="N40" s="28"/>
      <c r="O40" s="28"/>
      <c r="P40" s="28"/>
      <c r="Q40" s="28"/>
      <c r="R40" s="28"/>
      <c r="S40" s="28"/>
    </row>
    <row r="41" spans="1:19" s="8" customFormat="1" ht="24.75" customHeight="1">
      <c r="B41" s="3335" t="s">
        <v>4697</v>
      </c>
      <c r="C41" s="3336"/>
      <c r="D41" s="3336"/>
      <c r="E41" s="3336"/>
      <c r="F41" s="3336"/>
      <c r="G41" s="3336"/>
      <c r="H41" s="3336"/>
      <c r="I41" s="3336"/>
      <c r="J41" s="3336"/>
      <c r="K41" s="3336"/>
      <c r="L41" s="3336"/>
      <c r="M41" s="3337"/>
      <c r="N41" s="28"/>
      <c r="O41" s="1619" t="s">
        <v>2709</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1858</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LRBKgqaGKeemaGhCcKQBNTSx6IxYcD5zhTNOUU3p5oI3fmkqoKVg6bdviNP3nTsOhSAO6emtcLKJz5QtG+T1cQ==" saltValue="DIdirfw6DX0nMaohNHlse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2018-05-15T13:49:06Z</cp:lastPrinted>
  <dcterms:created xsi:type="dcterms:W3CDTF">2005-09-15T20:51:37Z</dcterms:created>
  <dcterms:modified xsi:type="dcterms:W3CDTF">2018-08-29T21:54:56Z</dcterms:modified>
</cp:coreProperties>
</file>