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0EB7D97B-2A26-4732-9540-F56169BEC4B6}" xr6:coauthVersionLast="31" xr6:coauthVersionMax="31" xr10:uidLastSave="{00000000-0000-0000-0000-000000000000}"/>
  <bookViews>
    <workbookView xWindow="3150" yWindow="3345" windowWidth="17340" windowHeight="381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Q1979" i="93"/>
  <c r="P1979" i="93"/>
  <c r="O1979" i="93"/>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7" i="93"/>
  <c r="O1957" i="93"/>
  <c r="P1956" i="93"/>
  <c r="O1956" i="93"/>
  <c r="P1955" i="93"/>
  <c r="O1955" i="93"/>
  <c r="P1952" i="93"/>
  <c r="O1952"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L1923" i="93" s="1"/>
  <c r="P1921" i="93"/>
  <c r="O1921" i="93"/>
  <c r="P1920" i="93"/>
  <c r="O1920" i="93"/>
  <c r="P1919" i="93"/>
  <c r="O1919" i="93"/>
  <c r="S1918" i="93"/>
  <c r="P1918" i="93"/>
  <c r="R1918" i="93" s="1"/>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1" i="93"/>
  <c r="O1901"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3" i="93"/>
  <c r="O1873" i="93"/>
  <c r="L1873" i="93" s="1"/>
  <c r="P1872" i="93"/>
  <c r="O1872" i="93"/>
  <c r="P1871" i="93"/>
  <c r="O1871"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Q1864" i="93"/>
  <c r="P1864" i="93"/>
  <c r="O1864" i="93"/>
  <c r="P1863" i="93"/>
  <c r="O1863" i="93"/>
  <c r="Q1863" i="93" s="1"/>
  <c r="P1862" i="93"/>
  <c r="O1862" i="93"/>
  <c r="P1859" i="93"/>
  <c r="O1859" i="93"/>
  <c r="P1858" i="93"/>
  <c r="O1858" i="93"/>
  <c r="Q1858" i="93" s="1"/>
  <c r="L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Q1849" i="93"/>
  <c r="P1849" i="93"/>
  <c r="O1849" i="93"/>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T1767" i="93" s="1"/>
  <c r="M1764" i="93"/>
  <c r="I1764" i="93"/>
  <c r="E1764" i="93"/>
  <c r="P1763" i="93"/>
  <c r="O1763" i="93"/>
  <c r="L1763" i="93" s="1"/>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H1732" i="93" s="1"/>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L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P1671" i="93"/>
  <c r="O1671" i="93"/>
  <c r="N1671" i="93"/>
  <c r="M1671" i="93"/>
  <c r="L1671" i="93"/>
  <c r="K1671" i="93"/>
  <c r="J1671" i="93"/>
  <c r="I1671" i="93"/>
  <c r="H1671" i="93"/>
  <c r="G1671" i="93"/>
  <c r="F1671" i="93"/>
  <c r="E1671" i="93"/>
  <c r="D1671" i="93"/>
  <c r="H1670" i="93"/>
  <c r="P1667" i="93"/>
  <c r="O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P1657" i="93"/>
  <c r="O1657" i="93"/>
  <c r="Q1657" i="93" s="1"/>
  <c r="P1656" i="93"/>
  <c r="O1656" i="93"/>
  <c r="Q1656" i="93" s="1"/>
  <c r="J1654" i="93"/>
  <c r="I1654" i="93"/>
  <c r="J1653" i="93"/>
  <c r="I1653" i="93"/>
  <c r="I1651" i="93"/>
  <c r="L1650" i="93"/>
  <c r="K1650" i="93"/>
  <c r="J1650" i="93"/>
  <c r="I1650"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I1603" i="93"/>
  <c r="H1603" i="93"/>
  <c r="I1602" i="93"/>
  <c r="H1602" i="93"/>
  <c r="S1595" i="93"/>
  <c r="R1595" i="93"/>
  <c r="Q1595" i="93"/>
  <c r="P1595" i="93"/>
  <c r="O1595" i="93"/>
  <c r="S1594" i="93"/>
  <c r="R1594" i="93"/>
  <c r="Q1594" i="93"/>
  <c r="P1594" i="93"/>
  <c r="O1594" i="93"/>
  <c r="S1593" i="93"/>
  <c r="R1593" i="93"/>
  <c r="Q1593" i="93"/>
  <c r="P1593" i="93"/>
  <c r="O1593" i="93"/>
  <c r="S1592" i="93"/>
  <c r="R1592" i="93"/>
  <c r="Q1592" i="93"/>
  <c r="P1592" i="93"/>
  <c r="O1592" i="93"/>
  <c r="S1591" i="93"/>
  <c r="R1591" i="93"/>
  <c r="Q1591" i="93"/>
  <c r="P1591" i="93"/>
  <c r="O1591" i="93"/>
  <c r="S1590" i="93"/>
  <c r="R1590" i="93"/>
  <c r="Q1590" i="93"/>
  <c r="P1590" i="93"/>
  <c r="O1590" i="93"/>
  <c r="S1589" i="93"/>
  <c r="R1589" i="93"/>
  <c r="Q1589" i="93"/>
  <c r="P1589" i="93"/>
  <c r="O1589" i="93"/>
  <c r="S1588" i="93"/>
  <c r="R1588" i="93"/>
  <c r="Q1588" i="93"/>
  <c r="P1588" i="93"/>
  <c r="O1588" i="93"/>
  <c r="E1588" i="93"/>
  <c r="S1587" i="93"/>
  <c r="R1587" i="93"/>
  <c r="Q1587" i="93"/>
  <c r="S1586" i="93"/>
  <c r="R1586" i="93"/>
  <c r="Q1586" i="93"/>
  <c r="S1585" i="93"/>
  <c r="R1585" i="93"/>
  <c r="P1585" i="93"/>
  <c r="O1585"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1"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J916" i="93" s="1"/>
  <c r="I914" i="93"/>
  <c r="H914" i="93"/>
  <c r="G914" i="93"/>
  <c r="R913" i="93"/>
  <c r="K911" i="93"/>
  <c r="J911" i="93"/>
  <c r="I911" i="93"/>
  <c r="H911" i="93"/>
  <c r="G911" i="93"/>
  <c r="F911" i="93"/>
  <c r="E911" i="93"/>
  <c r="D911" i="93"/>
  <c r="C911" i="93"/>
  <c r="K910" i="93"/>
  <c r="J910" i="93"/>
  <c r="J912" i="93" s="1"/>
  <c r="I910" i="93"/>
  <c r="I912" i="93" s="1"/>
  <c r="H910" i="93"/>
  <c r="G910" i="93"/>
  <c r="S909" i="93"/>
  <c r="P906" i="93"/>
  <c r="O906" i="93"/>
  <c r="N906" i="93"/>
  <c r="M906" i="93"/>
  <c r="L906" i="93"/>
  <c r="K906" i="93"/>
  <c r="J906" i="93"/>
  <c r="I906" i="93"/>
  <c r="H906" i="93"/>
  <c r="G906" i="93"/>
  <c r="F906" i="93"/>
  <c r="E906" i="93"/>
  <c r="D906" i="93"/>
  <c r="C906" i="93"/>
  <c r="P905" i="93"/>
  <c r="P907" i="93" s="1"/>
  <c r="O905" i="93"/>
  <c r="O907" i="93" s="1"/>
  <c r="N905" i="93"/>
  <c r="M905" i="93"/>
  <c r="L905" i="93"/>
  <c r="L907" i="93" s="1"/>
  <c r="K905" i="93"/>
  <c r="K907" i="93" s="1"/>
  <c r="J905" i="93"/>
  <c r="I905" i="93"/>
  <c r="I907" i="93" s="1"/>
  <c r="H905" i="93"/>
  <c r="H907" i="93" s="1"/>
  <c r="G905" i="93"/>
  <c r="R904" i="93"/>
  <c r="P902" i="93"/>
  <c r="O902" i="93"/>
  <c r="N902" i="93"/>
  <c r="M902" i="93"/>
  <c r="L902" i="93"/>
  <c r="K902" i="93"/>
  <c r="J902" i="93"/>
  <c r="I902" i="93"/>
  <c r="H902" i="93"/>
  <c r="G902" i="93"/>
  <c r="F902" i="93"/>
  <c r="E902" i="93"/>
  <c r="D902" i="93"/>
  <c r="C902" i="93"/>
  <c r="P901" i="93"/>
  <c r="O901" i="93"/>
  <c r="N901" i="93"/>
  <c r="M901" i="93"/>
  <c r="L901" i="93"/>
  <c r="K901" i="93"/>
  <c r="K903" i="93" s="1"/>
  <c r="J901" i="93"/>
  <c r="J903" i="93" s="1"/>
  <c r="I901" i="93"/>
  <c r="H901" i="93"/>
  <c r="G901" i="93"/>
  <c r="S900" i="93"/>
  <c r="P897" i="93"/>
  <c r="O897" i="93"/>
  <c r="N897" i="93"/>
  <c r="M897" i="93"/>
  <c r="L897" i="93"/>
  <c r="K897" i="93"/>
  <c r="J897" i="93"/>
  <c r="I897" i="93"/>
  <c r="H897" i="93"/>
  <c r="G897" i="93"/>
  <c r="F897" i="93"/>
  <c r="E897" i="93"/>
  <c r="D897" i="93"/>
  <c r="C897" i="93"/>
  <c r="P896" i="93"/>
  <c r="O896" i="93"/>
  <c r="N896" i="93"/>
  <c r="N898" i="93" s="1"/>
  <c r="M896" i="93"/>
  <c r="L896" i="93"/>
  <c r="K896" i="93"/>
  <c r="J896" i="93"/>
  <c r="J898" i="93" s="1"/>
  <c r="I896" i="93"/>
  <c r="H896" i="93"/>
  <c r="G896" i="93"/>
  <c r="R895" i="93"/>
  <c r="P893" i="93"/>
  <c r="O893" i="93"/>
  <c r="N893" i="93"/>
  <c r="M893" i="93"/>
  <c r="L893" i="93"/>
  <c r="K893" i="93"/>
  <c r="J893" i="93"/>
  <c r="I893" i="93"/>
  <c r="H893" i="93"/>
  <c r="G893" i="93"/>
  <c r="F893" i="93"/>
  <c r="E893" i="93"/>
  <c r="D893" i="93"/>
  <c r="C893" i="93"/>
  <c r="P892" i="93"/>
  <c r="O892" i="93"/>
  <c r="N892" i="93"/>
  <c r="M892" i="93"/>
  <c r="M894" i="93" s="1"/>
  <c r="L892" i="93"/>
  <c r="K892" i="93"/>
  <c r="J892" i="93"/>
  <c r="I892" i="93"/>
  <c r="H892" i="93"/>
  <c r="G892" i="93"/>
  <c r="S891" i="93"/>
  <c r="P888" i="93"/>
  <c r="O888" i="93"/>
  <c r="N888" i="93"/>
  <c r="M888" i="93"/>
  <c r="L888" i="93"/>
  <c r="K888" i="93"/>
  <c r="J888" i="93"/>
  <c r="I888" i="93"/>
  <c r="H888" i="93"/>
  <c r="G888" i="93"/>
  <c r="F888" i="93"/>
  <c r="E888" i="93"/>
  <c r="D888" i="93"/>
  <c r="C888" i="93"/>
  <c r="P887" i="93"/>
  <c r="O887" i="93"/>
  <c r="O889" i="93" s="1"/>
  <c r="N887" i="93"/>
  <c r="N889" i="93" s="1"/>
  <c r="M887" i="93"/>
  <c r="L887" i="93"/>
  <c r="K887" i="93"/>
  <c r="J887" i="93"/>
  <c r="I887" i="93"/>
  <c r="H887" i="93"/>
  <c r="G887" i="93"/>
  <c r="G889" i="93" s="1"/>
  <c r="R886" i="93"/>
  <c r="P884" i="93"/>
  <c r="O884" i="93"/>
  <c r="N884" i="93"/>
  <c r="M884" i="93"/>
  <c r="L884" i="93"/>
  <c r="K884" i="93"/>
  <c r="J884" i="93"/>
  <c r="I884" i="93"/>
  <c r="H884" i="93"/>
  <c r="G884" i="93"/>
  <c r="F884" i="93"/>
  <c r="E884" i="93"/>
  <c r="D884" i="93"/>
  <c r="C884" i="93"/>
  <c r="P883" i="93"/>
  <c r="O883" i="93"/>
  <c r="O885" i="93" s="1"/>
  <c r="N883" i="93"/>
  <c r="M883" i="93"/>
  <c r="L883" i="93"/>
  <c r="K883" i="93"/>
  <c r="J883" i="93"/>
  <c r="I883" i="93"/>
  <c r="H883" i="93"/>
  <c r="G883" i="93"/>
  <c r="G885" i="93" s="1"/>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CZ804" i="93" s="1"/>
  <c r="J804" i="93"/>
  <c r="H804" i="93"/>
  <c r="G804" i="93"/>
  <c r="F804" i="93"/>
  <c r="E804" i="93"/>
  <c r="D804" i="93"/>
  <c r="C804" i="93"/>
  <c r="B804" i="93"/>
  <c r="EY803" i="93"/>
  <c r="T803" i="93"/>
  <c r="S803" i="93"/>
  <c r="P803" i="93"/>
  <c r="HK803" i="93" s="1"/>
  <c r="O803" i="93"/>
  <c r="IQ803" i="93" s="1"/>
  <c r="N803" i="93"/>
  <c r="M803" i="93"/>
  <c r="J803" i="93"/>
  <c r="H803" i="93"/>
  <c r="G803" i="93"/>
  <c r="F803" i="93"/>
  <c r="E803" i="93"/>
  <c r="D803" i="93"/>
  <c r="C803" i="93"/>
  <c r="CM803" i="93" s="1"/>
  <c r="B803" i="93"/>
  <c r="T802" i="93"/>
  <c r="S802" i="93"/>
  <c r="P802" i="93"/>
  <c r="O802" i="93"/>
  <c r="N802" i="93"/>
  <c r="M802" i="93"/>
  <c r="J802" i="93"/>
  <c r="H802" i="93"/>
  <c r="G802" i="93"/>
  <c r="F802" i="93"/>
  <c r="E802" i="93"/>
  <c r="D802" i="93"/>
  <c r="C802" i="93"/>
  <c r="B802" i="93"/>
  <c r="T801" i="93"/>
  <c r="S801" i="93"/>
  <c r="P801" i="93"/>
  <c r="O801" i="93"/>
  <c r="N801" i="93"/>
  <c r="M801" i="93"/>
  <c r="J801" i="93"/>
  <c r="H801" i="93"/>
  <c r="G801" i="93"/>
  <c r="F801" i="93"/>
  <c r="E801" i="93"/>
  <c r="D801" i="93"/>
  <c r="C801" i="93"/>
  <c r="EZ801" i="93" s="1"/>
  <c r="B801" i="93"/>
  <c r="T800" i="93"/>
  <c r="S800" i="93"/>
  <c r="P800" i="93"/>
  <c r="HH800" i="93" s="1"/>
  <c r="O800" i="93"/>
  <c r="N800" i="93"/>
  <c r="M800" i="93"/>
  <c r="J800" i="93"/>
  <c r="H800" i="93"/>
  <c r="G800" i="93"/>
  <c r="F800" i="93"/>
  <c r="E800" i="93"/>
  <c r="D800" i="93"/>
  <c r="C800" i="93"/>
  <c r="HX800" i="93" s="1"/>
  <c r="B800" i="93"/>
  <c r="CQ800" i="93" s="1"/>
  <c r="DP799" i="93"/>
  <c r="T799" i="93"/>
  <c r="S799" i="93"/>
  <c r="P799" i="93"/>
  <c r="O799" i="93"/>
  <c r="N799" i="93"/>
  <c r="M799" i="93"/>
  <c r="J799" i="93"/>
  <c r="BD799" i="93" s="1"/>
  <c r="H799" i="93"/>
  <c r="G799" i="93"/>
  <c r="F799" i="93"/>
  <c r="E799" i="93"/>
  <c r="JL799" i="93" s="1"/>
  <c r="D799" i="93"/>
  <c r="C799" i="93"/>
  <c r="GZ799" i="93" s="1"/>
  <c r="B799" i="93"/>
  <c r="IN799" i="93" s="1"/>
  <c r="T798" i="93"/>
  <c r="S798" i="93"/>
  <c r="P798" i="93"/>
  <c r="O798" i="93"/>
  <c r="N798" i="93"/>
  <c r="M798" i="93"/>
  <c r="J798" i="93"/>
  <c r="H798" i="93"/>
  <c r="G798" i="93"/>
  <c r="F798" i="93"/>
  <c r="E798" i="93"/>
  <c r="D798" i="93"/>
  <c r="C798" i="93"/>
  <c r="B798" i="93"/>
  <c r="T797" i="93"/>
  <c r="S797" i="93"/>
  <c r="P797" i="93"/>
  <c r="O797" i="93"/>
  <c r="N797" i="93"/>
  <c r="M797" i="93"/>
  <c r="J797" i="93"/>
  <c r="H797" i="93"/>
  <c r="G797" i="93"/>
  <c r="F797" i="93"/>
  <c r="E797" i="93"/>
  <c r="D797" i="93"/>
  <c r="C797" i="93"/>
  <c r="AH797" i="93" s="1"/>
  <c r="B797" i="93"/>
  <c r="T796" i="93"/>
  <c r="S796" i="93"/>
  <c r="P796" i="93"/>
  <c r="GG796" i="93" s="1"/>
  <c r="O796" i="93"/>
  <c r="N796" i="93"/>
  <c r="M796" i="93"/>
  <c r="DA796" i="93" s="1"/>
  <c r="J796" i="93"/>
  <c r="H796" i="93"/>
  <c r="G796" i="93"/>
  <c r="F796" i="93"/>
  <c r="E796" i="93"/>
  <c r="D796" i="93"/>
  <c r="C796" i="93"/>
  <c r="BI796" i="93" s="1"/>
  <c r="B796" i="93"/>
  <c r="AS796" i="93" s="1"/>
  <c r="FX795" i="93"/>
  <c r="T795" i="93"/>
  <c r="S795" i="93"/>
  <c r="P795" i="93"/>
  <c r="O795" i="93"/>
  <c r="N795" i="93"/>
  <c r="M795" i="93"/>
  <c r="CZ795" i="93" s="1"/>
  <c r="J795" i="93"/>
  <c r="H795" i="93"/>
  <c r="G795" i="93"/>
  <c r="F795" i="93"/>
  <c r="E795" i="93"/>
  <c r="D795" i="93"/>
  <c r="C795" i="93"/>
  <c r="IJ795" i="93" s="1"/>
  <c r="B795" i="93"/>
  <c r="EB795" i="93" s="1"/>
  <c r="GY794" i="93"/>
  <c r="AJ794" i="93"/>
  <c r="T794" i="93"/>
  <c r="S794" i="93"/>
  <c r="P794" i="93"/>
  <c r="O794" i="93"/>
  <c r="N794" i="93"/>
  <c r="M794" i="93"/>
  <c r="DC794" i="93" s="1"/>
  <c r="J794" i="93"/>
  <c r="BH794" i="93" s="1"/>
  <c r="H794" i="93"/>
  <c r="G794" i="93"/>
  <c r="F794" i="93"/>
  <c r="E794" i="93"/>
  <c r="JP794" i="93" s="1"/>
  <c r="D794" i="93"/>
  <c r="C794" i="93"/>
  <c r="GA794" i="93" s="1"/>
  <c r="B794" i="93"/>
  <c r="CN794" i="93" s="1"/>
  <c r="JC793" i="93"/>
  <c r="T793" i="93"/>
  <c r="S793" i="93"/>
  <c r="P793" i="93"/>
  <c r="O793" i="93"/>
  <c r="N793" i="93"/>
  <c r="M793" i="93"/>
  <c r="J793" i="93"/>
  <c r="H793" i="93"/>
  <c r="G793" i="93"/>
  <c r="F793" i="93"/>
  <c r="E793" i="93"/>
  <c r="D793" i="93"/>
  <c r="C793" i="93"/>
  <c r="EM793" i="93" s="1"/>
  <c r="B793" i="93"/>
  <c r="T792" i="93"/>
  <c r="S792" i="93"/>
  <c r="P792" i="93"/>
  <c r="O792" i="93"/>
  <c r="N792" i="93"/>
  <c r="M792" i="93"/>
  <c r="J792" i="93"/>
  <c r="H792" i="93"/>
  <c r="G792" i="93"/>
  <c r="F792" i="93"/>
  <c r="E792" i="93"/>
  <c r="D792" i="93"/>
  <c r="C792" i="93"/>
  <c r="JN792" i="93" s="1"/>
  <c r="B792" i="93"/>
  <c r="DR792" i="93" s="1"/>
  <c r="HQ791" i="93"/>
  <c r="BA791" i="93"/>
  <c r="T791" i="93"/>
  <c r="S791" i="93"/>
  <c r="P791" i="93"/>
  <c r="GK791" i="93" s="1"/>
  <c r="O791" i="93"/>
  <c r="N791" i="93"/>
  <c r="M791" i="93"/>
  <c r="J791" i="93"/>
  <c r="H791" i="93"/>
  <c r="G791" i="93"/>
  <c r="F791" i="93"/>
  <c r="E791" i="93"/>
  <c r="D791" i="93"/>
  <c r="C791" i="93"/>
  <c r="FU791" i="93" s="1"/>
  <c r="B791" i="93"/>
  <c r="DX791" i="93" s="1"/>
  <c r="T790" i="93"/>
  <c r="S790" i="93"/>
  <c r="P790" i="93"/>
  <c r="O790" i="93"/>
  <c r="N790" i="93"/>
  <c r="M790" i="93"/>
  <c r="J790" i="93"/>
  <c r="H790" i="93"/>
  <c r="G790" i="93"/>
  <c r="F790" i="93"/>
  <c r="E790" i="93"/>
  <c r="D790" i="93"/>
  <c r="C790" i="93"/>
  <c r="B790" i="93"/>
  <c r="T789" i="93"/>
  <c r="S789" i="93"/>
  <c r="P789" i="93"/>
  <c r="O789" i="93"/>
  <c r="N789" i="93"/>
  <c r="M789" i="93"/>
  <c r="J789" i="93"/>
  <c r="H789" i="93"/>
  <c r="G789" i="93"/>
  <c r="F789" i="93"/>
  <c r="E789" i="93"/>
  <c r="D789" i="93"/>
  <c r="C789" i="93"/>
  <c r="AD789" i="93" s="1"/>
  <c r="B789" i="93"/>
  <c r="T788" i="93"/>
  <c r="S788" i="93"/>
  <c r="P788" i="93"/>
  <c r="O788" i="93"/>
  <c r="N788" i="93"/>
  <c r="M788" i="93"/>
  <c r="J788" i="93"/>
  <c r="H788" i="93"/>
  <c r="G788" i="93"/>
  <c r="F788" i="93"/>
  <c r="E788" i="93"/>
  <c r="D788" i="93"/>
  <c r="C788" i="93"/>
  <c r="B788" i="93"/>
  <c r="DJ787" i="93"/>
  <c r="T787" i="93"/>
  <c r="S787" i="93"/>
  <c r="P787" i="93"/>
  <c r="O787" i="93"/>
  <c r="N787" i="93"/>
  <c r="M787" i="93"/>
  <c r="J787" i="93"/>
  <c r="H787" i="93"/>
  <c r="G787" i="93"/>
  <c r="F787" i="93"/>
  <c r="E787" i="93"/>
  <c r="D787" i="93"/>
  <c r="C787" i="93"/>
  <c r="GP787" i="93" s="1"/>
  <c r="B787" i="93"/>
  <c r="IX787" i="93" s="1"/>
  <c r="GH786" i="93"/>
  <c r="CK786" i="93"/>
  <c r="T786" i="93"/>
  <c r="S786" i="93"/>
  <c r="P786" i="93"/>
  <c r="O786" i="93"/>
  <c r="N786" i="93"/>
  <c r="M786" i="93"/>
  <c r="J786" i="93"/>
  <c r="H786" i="93"/>
  <c r="G786" i="93"/>
  <c r="F786" i="93"/>
  <c r="E786" i="93"/>
  <c r="D786" i="93"/>
  <c r="C786" i="93"/>
  <c r="IC786" i="93" s="1"/>
  <c r="B786" i="93"/>
  <c r="FP785" i="93"/>
  <c r="DT785" i="93"/>
  <c r="CG785" i="93"/>
  <c r="AC785" i="93"/>
  <c r="T785" i="93"/>
  <c r="S785" i="93"/>
  <c r="P785" i="93"/>
  <c r="O785" i="93"/>
  <c r="N785" i="93"/>
  <c r="M785" i="93"/>
  <c r="J785" i="93"/>
  <c r="H785" i="93"/>
  <c r="G785" i="93"/>
  <c r="F785" i="93"/>
  <c r="E785" i="93"/>
  <c r="D785" i="93"/>
  <c r="C785" i="93"/>
  <c r="BP785" i="93" s="1"/>
  <c r="B785" i="93"/>
  <c r="IK785" i="93" s="1"/>
  <c r="T784" i="93"/>
  <c r="S784" i="93"/>
  <c r="P784" i="93"/>
  <c r="O784" i="93"/>
  <c r="N784" i="93"/>
  <c r="M784" i="93"/>
  <c r="J784" i="93"/>
  <c r="H784" i="93"/>
  <c r="G784" i="93"/>
  <c r="F784" i="93"/>
  <c r="E784" i="93"/>
  <c r="D784" i="93"/>
  <c r="C784" i="93"/>
  <c r="GN784" i="93" s="1"/>
  <c r="B784" i="93"/>
  <c r="EX783" i="93"/>
  <c r="EL783" i="93"/>
  <c r="T783" i="93"/>
  <c r="S783" i="93"/>
  <c r="P783" i="93"/>
  <c r="O783" i="93"/>
  <c r="N783" i="93"/>
  <c r="M783" i="93"/>
  <c r="J783" i="93"/>
  <c r="H783" i="93"/>
  <c r="G783" i="93"/>
  <c r="F783" i="93"/>
  <c r="E783" i="93"/>
  <c r="D783" i="93"/>
  <c r="C783" i="93"/>
  <c r="IU783" i="93" s="1"/>
  <c r="B783" i="93"/>
  <c r="ID783" i="93" s="1"/>
  <c r="T782" i="93"/>
  <c r="S782" i="93"/>
  <c r="P782" i="93"/>
  <c r="HZ782" i="93" s="1"/>
  <c r="O782" i="93"/>
  <c r="N782" i="93"/>
  <c r="M782" i="93"/>
  <c r="CU782" i="93" s="1"/>
  <c r="J782" i="93"/>
  <c r="H782" i="93"/>
  <c r="G782" i="93"/>
  <c r="F782" i="93"/>
  <c r="E782" i="93"/>
  <c r="D782" i="93"/>
  <c r="C782" i="93"/>
  <c r="AI782" i="93" s="1"/>
  <c r="B782" i="93"/>
  <c r="CK782" i="93" s="1"/>
  <c r="T781" i="93"/>
  <c r="S781" i="93"/>
  <c r="P781" i="93"/>
  <c r="O781" i="93"/>
  <c r="N781" i="93"/>
  <c r="M781" i="93"/>
  <c r="CZ781" i="93" s="1"/>
  <c r="J781" i="93"/>
  <c r="H781" i="93"/>
  <c r="G781" i="93"/>
  <c r="F781" i="93"/>
  <c r="E781" i="93"/>
  <c r="D781" i="93"/>
  <c r="C781" i="93"/>
  <c r="CT781" i="93" s="1"/>
  <c r="B781" i="93"/>
  <c r="AX781" i="93" s="1"/>
  <c r="T780" i="93"/>
  <c r="S780" i="93"/>
  <c r="P780" i="93"/>
  <c r="O780" i="93"/>
  <c r="N780" i="93"/>
  <c r="M780" i="93"/>
  <c r="J780" i="93"/>
  <c r="H780" i="93"/>
  <c r="G780" i="93"/>
  <c r="F780" i="93"/>
  <c r="E780" i="93"/>
  <c r="D780" i="93"/>
  <c r="C780" i="93"/>
  <c r="B780" i="93"/>
  <c r="T779" i="93"/>
  <c r="S779" i="93"/>
  <c r="P779" i="93"/>
  <c r="O779" i="93"/>
  <c r="N779" i="93"/>
  <c r="M779" i="93"/>
  <c r="J779" i="93"/>
  <c r="H779" i="93"/>
  <c r="G779" i="93"/>
  <c r="F779" i="93"/>
  <c r="E779" i="93"/>
  <c r="D779" i="93"/>
  <c r="C779" i="93"/>
  <c r="B779" i="93"/>
  <c r="EE778" i="93"/>
  <c r="BS778" i="93"/>
  <c r="T778" i="93"/>
  <c r="S778" i="93"/>
  <c r="P778" i="93"/>
  <c r="O778" i="93"/>
  <c r="N778" i="93"/>
  <c r="M778" i="93"/>
  <c r="J778" i="93"/>
  <c r="H778" i="93"/>
  <c r="G778" i="93"/>
  <c r="F778" i="93"/>
  <c r="E778" i="93"/>
  <c r="D778" i="93"/>
  <c r="C778" i="93"/>
  <c r="HG778" i="93" s="1"/>
  <c r="B778" i="93"/>
  <c r="HK777" i="93"/>
  <c r="EY777" i="93"/>
  <c r="T777" i="93"/>
  <c r="S777" i="93"/>
  <c r="P777" i="93"/>
  <c r="HZ777" i="93" s="1"/>
  <c r="O777" i="93"/>
  <c r="N777" i="93"/>
  <c r="M777" i="93"/>
  <c r="J777" i="93"/>
  <c r="H777" i="93"/>
  <c r="G777" i="93"/>
  <c r="F777" i="93"/>
  <c r="E777" i="93"/>
  <c r="D777" i="93"/>
  <c r="C777" i="93"/>
  <c r="EX777" i="93" s="1"/>
  <c r="B777" i="93"/>
  <c r="T776" i="93"/>
  <c r="S776" i="93"/>
  <c r="P776" i="93"/>
  <c r="O776" i="93"/>
  <c r="N776" i="93"/>
  <c r="M776" i="93"/>
  <c r="J776" i="93"/>
  <c r="H776" i="93"/>
  <c r="G776" i="93"/>
  <c r="F776" i="93"/>
  <c r="E776" i="93"/>
  <c r="D776" i="93"/>
  <c r="C776" i="93"/>
  <c r="JJ776" i="93" s="1"/>
  <c r="B776" i="93"/>
  <c r="T775" i="93"/>
  <c r="S775" i="93"/>
  <c r="P775" i="93"/>
  <c r="O775" i="93"/>
  <c r="N775" i="93"/>
  <c r="M775" i="93"/>
  <c r="J775" i="93"/>
  <c r="H775" i="93"/>
  <c r="G775" i="93"/>
  <c r="F775" i="93"/>
  <c r="E775" i="93"/>
  <c r="D775" i="93"/>
  <c r="C775" i="93"/>
  <c r="CN775" i="93" s="1"/>
  <c r="B775" i="93"/>
  <c r="EJ775" i="93" s="1"/>
  <c r="DA774" i="93"/>
  <c r="CZ774" i="93"/>
  <c r="BU774" i="93"/>
  <c r="AC774" i="93"/>
  <c r="X774" i="93"/>
  <c r="T774" i="93"/>
  <c r="S774" i="93"/>
  <c r="P774" i="93"/>
  <c r="O774" i="93"/>
  <c r="N774" i="93"/>
  <c r="M774" i="93"/>
  <c r="J774" i="93"/>
  <c r="H774" i="93"/>
  <c r="G774" i="93"/>
  <c r="F774" i="93"/>
  <c r="E774" i="93"/>
  <c r="D774" i="93"/>
  <c r="C774" i="93"/>
  <c r="DP774" i="93" s="1"/>
  <c r="B774" i="93"/>
  <c r="CJ774" i="93" s="1"/>
  <c r="T773" i="93"/>
  <c r="S773" i="93"/>
  <c r="P773" i="93"/>
  <c r="O773" i="93"/>
  <c r="N773" i="93"/>
  <c r="M773" i="93"/>
  <c r="J773" i="93"/>
  <c r="H773" i="93"/>
  <c r="G773" i="93"/>
  <c r="F773" i="93"/>
  <c r="E773" i="93"/>
  <c r="D773" i="93"/>
  <c r="C773" i="93"/>
  <c r="B773" i="93"/>
  <c r="HU772" i="93"/>
  <c r="HN772" i="93"/>
  <c r="HJ772" i="93"/>
  <c r="GX772" i="93"/>
  <c r="GD772" i="93"/>
  <c r="GC772" i="93"/>
  <c r="FS772" i="93"/>
  <c r="FG772" i="93"/>
  <c r="EX772" i="93"/>
  <c r="EW772" i="93"/>
  <c r="T772" i="93"/>
  <c r="S772" i="93"/>
  <c r="P772" i="93"/>
  <c r="O772" i="93"/>
  <c r="JE772" i="93" s="1"/>
  <c r="N772" i="93"/>
  <c r="M772" i="93"/>
  <c r="J772" i="93"/>
  <c r="H772" i="93"/>
  <c r="G772" i="93"/>
  <c r="F772" i="93"/>
  <c r="E772" i="93"/>
  <c r="D772" i="93"/>
  <c r="C772" i="93"/>
  <c r="HZ772" i="93" s="1"/>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IW770" i="93" s="1"/>
  <c r="B770" i="93"/>
  <c r="CF769" i="93"/>
  <c r="T769" i="93"/>
  <c r="S769" i="93"/>
  <c r="P769" i="93"/>
  <c r="O769" i="93"/>
  <c r="N769" i="93"/>
  <c r="M769" i="93"/>
  <c r="CY769" i="93" s="1"/>
  <c r="J769" i="93"/>
  <c r="AU769" i="93" s="1"/>
  <c r="H769" i="93"/>
  <c r="G769" i="93"/>
  <c r="F769" i="93"/>
  <c r="E769" i="93"/>
  <c r="D769" i="93"/>
  <c r="C769" i="93"/>
  <c r="IJ769" i="93" s="1"/>
  <c r="B769" i="93"/>
  <c r="IE769" i="93" s="1"/>
  <c r="JN768" i="93"/>
  <c r="AM768" i="93"/>
  <c r="T768" i="93"/>
  <c r="S768" i="93"/>
  <c r="P768" i="93"/>
  <c r="O768" i="93"/>
  <c r="EU768" i="93" s="1"/>
  <c r="N768" i="93"/>
  <c r="M768" i="93"/>
  <c r="J768" i="93"/>
  <c r="BN768" i="93" s="1"/>
  <c r="H768" i="93"/>
  <c r="G768" i="93"/>
  <c r="F768" i="93"/>
  <c r="E768" i="93"/>
  <c r="D768" i="93"/>
  <c r="C768" i="93"/>
  <c r="DU768" i="93" s="1"/>
  <c r="B768" i="93"/>
  <c r="IH768" i="93" s="1"/>
  <c r="T767" i="93"/>
  <c r="S767" i="93"/>
  <c r="P767" i="93"/>
  <c r="O767" i="93"/>
  <c r="N767" i="93"/>
  <c r="M767" i="93"/>
  <c r="J767" i="93"/>
  <c r="H767" i="93"/>
  <c r="G767" i="93"/>
  <c r="F767" i="93"/>
  <c r="E767" i="93"/>
  <c r="D767" i="93"/>
  <c r="C767" i="93"/>
  <c r="IK767" i="93" s="1"/>
  <c r="B767" i="93"/>
  <c r="IF767" i="93" s="1"/>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M746" i="93" s="1"/>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4" i="93" s="1"/>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U561" i="93" s="1"/>
  <c r="F561" i="93"/>
  <c r="E561" i="93"/>
  <c r="D561" i="93"/>
  <c r="C561" i="93"/>
  <c r="T560" i="93"/>
  <c r="S560" i="93"/>
  <c r="Q560" i="93"/>
  <c r="P560" i="93"/>
  <c r="N560" i="93"/>
  <c r="M560" i="93"/>
  <c r="K560" i="93"/>
  <c r="J560" i="93"/>
  <c r="H560" i="93"/>
  <c r="G560" i="93"/>
  <c r="T559" i="93"/>
  <c r="S559" i="93"/>
  <c r="H559" i="93"/>
  <c r="G559" i="93"/>
  <c r="T558" i="93"/>
  <c r="S558" i="93"/>
  <c r="J558" i="93"/>
  <c r="H558" i="93"/>
  <c r="G558" i="93"/>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A526" i="93" s="1"/>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A512" i="93" s="1"/>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F504" i="93" s="1"/>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J469" i="93" s="1"/>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H461" i="93"/>
  <c r="G461" i="93"/>
  <c r="W460" i="93"/>
  <c r="O460" i="93"/>
  <c r="V459" i="93"/>
  <c r="X458" i="93"/>
  <c r="W458" i="93"/>
  <c r="T458" i="93"/>
  <c r="S458" i="93"/>
  <c r="N458" i="93"/>
  <c r="M458" i="93"/>
  <c r="H458" i="93"/>
  <c r="G458" i="93"/>
  <c r="X457" i="93"/>
  <c r="W457" i="93"/>
  <c r="T457" i="93"/>
  <c r="S457" i="93"/>
  <c r="N457" i="93"/>
  <c r="M457" i="93"/>
  <c r="M459" i="93" s="1"/>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U452" i="93" s="1"/>
  <c r="F452" i="93"/>
  <c r="E452" i="93"/>
  <c r="D452" i="93"/>
  <c r="C452" i="93"/>
  <c r="X451" i="93"/>
  <c r="W451" i="93"/>
  <c r="T451" i="93"/>
  <c r="S451" i="93"/>
  <c r="Q451" i="93"/>
  <c r="P451" i="93"/>
  <c r="N451" i="93"/>
  <c r="M451" i="93"/>
  <c r="K451" i="93"/>
  <c r="J451" i="93"/>
  <c r="H451" i="93"/>
  <c r="G451" i="93"/>
  <c r="A451" i="93" s="1"/>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Q405" i="93"/>
  <c r="P405" i="93"/>
  <c r="O405" i="93"/>
  <c r="N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1"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J33" i="93"/>
  <c r="H33" i="93"/>
  <c r="G33" i="93"/>
  <c r="F471" i="93" s="1"/>
  <c r="F470"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12" i="93"/>
  <c r="A5" i="93"/>
  <c r="A2" i="93"/>
  <c r="Q93"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F103" i="92"/>
  <c r="F101" i="92"/>
  <c r="F95" i="92"/>
  <c r="I65" i="92"/>
  <c r="D53" i="92"/>
  <c r="H52" i="92"/>
  <c r="C52" i="92"/>
  <c r="I9" i="92"/>
  <c r="G11" i="91"/>
  <c r="A206" i="90"/>
  <c r="A200" i="90"/>
  <c r="F197" i="90"/>
  <c r="E184" i="90"/>
  <c r="E163" i="90"/>
  <c r="D101" i="90"/>
  <c r="E96" i="90"/>
  <c r="E92" i="90"/>
  <c r="E81" i="90"/>
  <c r="C57" i="90"/>
  <c r="C16" i="90"/>
  <c r="C5" i="90"/>
  <c r="F75" i="89"/>
  <c r="E183" i="90" s="1"/>
  <c r="F73" i="89"/>
  <c r="F71" i="89"/>
  <c r="E166" i="90" s="1"/>
  <c r="E50" i="89"/>
  <c r="G49" i="89"/>
  <c r="E49" i="89"/>
  <c r="C21" i="90" s="1"/>
  <c r="E47" i="89"/>
  <c r="F39" i="89"/>
  <c r="D79" i="90" s="1"/>
  <c r="F30" i="89"/>
  <c r="D62" i="90" s="1"/>
  <c r="D56" i="92"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C14" i="86"/>
  <c r="O6" i="86"/>
  <c r="O22" i="86" s="1"/>
  <c r="E6" i="86"/>
  <c r="K5" i="86"/>
  <c r="E5" i="86"/>
  <c r="H4" i="86"/>
  <c r="G56" i="86" s="1"/>
  <c r="E4" i="86"/>
  <c r="A206" i="85"/>
  <c r="Q61" i="85"/>
  <c r="O61" i="85"/>
  <c r="N61" i="85"/>
  <c r="L61" i="85"/>
  <c r="C32" i="84"/>
  <c r="B32" i="84"/>
  <c r="C31" i="84"/>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K10" i="84"/>
  <c r="C146" i="90" s="1"/>
  <c r="H10" i="84"/>
  <c r="C144" i="90" s="1"/>
  <c r="C10" i="84"/>
  <c r="C55" i="90" s="1"/>
  <c r="H9" i="84"/>
  <c r="E65" i="89" s="1"/>
  <c r="E8" i="84"/>
  <c r="C8" i="84"/>
  <c r="H1" i="91" s="1"/>
  <c r="A10" i="83"/>
  <c r="A2" i="83"/>
  <c r="P59" i="82"/>
  <c r="O59" i="82"/>
  <c r="N59" i="82"/>
  <c r="M59" i="82"/>
  <c r="L59" i="82"/>
  <c r="K59" i="82"/>
  <c r="J59" i="82"/>
  <c r="I59" i="82"/>
  <c r="H59" i="82"/>
  <c r="G59" i="82"/>
  <c r="F59" i="82"/>
  <c r="E59" i="82"/>
  <c r="D59" i="82"/>
  <c r="C59" i="82"/>
  <c r="B59" i="82"/>
  <c r="D48" i="82"/>
  <c r="E48" i="82" s="1"/>
  <c r="F48" i="82" s="1"/>
  <c r="G48" i="82" s="1"/>
  <c r="H48" i="82" s="1"/>
  <c r="I48" i="82" s="1"/>
  <c r="J48" i="82" s="1"/>
  <c r="K48" i="82" s="1"/>
  <c r="B68" i="82" s="1"/>
  <c r="C68" i="82" s="1"/>
  <c r="D68" i="82" s="1"/>
  <c r="E68" i="82" s="1"/>
  <c r="F68" i="82" s="1"/>
  <c r="G68" i="82" s="1"/>
  <c r="H68" i="82" s="1"/>
  <c r="I68" i="82" s="1"/>
  <c r="J68" i="82" s="1"/>
  <c r="K68" i="82" s="1"/>
  <c r="B48" i="82"/>
  <c r="C48" i="82" s="1"/>
  <c r="B38" i="82"/>
  <c r="B32" i="82"/>
  <c r="B35" i="82" s="1"/>
  <c r="B36" i="82" s="1"/>
  <c r="B24" i="82"/>
  <c r="B18" i="82"/>
  <c r="A2" i="71"/>
  <c r="P442" i="72"/>
  <c r="M441" i="72"/>
  <c r="M6" i="72" s="1"/>
  <c r="P433" i="72"/>
  <c r="P1987" i="93" s="1"/>
  <c r="O433" i="72"/>
  <c r="Q425" i="72"/>
  <c r="Q418" i="72"/>
  <c r="L416" i="72"/>
  <c r="R414" i="72"/>
  <c r="P414" i="72"/>
  <c r="P1968" i="93" s="1"/>
  <c r="O414" i="72"/>
  <c r="P55" i="73" s="1"/>
  <c r="P397" i="72"/>
  <c r="P1951" i="93" s="1"/>
  <c r="L387" i="72"/>
  <c r="M381" i="72"/>
  <c r="J381" i="72"/>
  <c r="Q369" i="72"/>
  <c r="L369" i="72"/>
  <c r="S364" i="72"/>
  <c r="R364" i="72"/>
  <c r="M385" i="72" s="1"/>
  <c r="L364" i="72"/>
  <c r="J385" i="72" s="1"/>
  <c r="P362" i="72"/>
  <c r="P1916" i="93" s="1"/>
  <c r="O362" i="72"/>
  <c r="J362" i="72"/>
  <c r="L356" i="72"/>
  <c r="I356" i="72"/>
  <c r="C356" i="72"/>
  <c r="Q354" i="72"/>
  <c r="Q347" i="72"/>
  <c r="N347" i="72"/>
  <c r="L347" i="72"/>
  <c r="P346" i="72"/>
  <c r="P1900" i="93" s="1"/>
  <c r="O346" i="72"/>
  <c r="L337" i="72"/>
  <c r="I337" i="72"/>
  <c r="G330" i="72"/>
  <c r="G1884" i="93" s="1"/>
  <c r="O325" i="72"/>
  <c r="G325" i="72"/>
  <c r="G1879" i="93" s="1"/>
  <c r="P324" i="72"/>
  <c r="P1878" i="93" s="1"/>
  <c r="P1997" i="93" s="1"/>
  <c r="Q319" i="72"/>
  <c r="L319" i="72"/>
  <c r="Q317" i="72"/>
  <c r="L317" i="72"/>
  <c r="P316" i="72"/>
  <c r="P1870" i="93" s="1"/>
  <c r="O316" i="72"/>
  <c r="Q310" i="72"/>
  <c r="Q309" i="72"/>
  <c r="Q308" i="72"/>
  <c r="K308" i="72"/>
  <c r="Q305" i="72"/>
  <c r="L305" i="72"/>
  <c r="Q304" i="72"/>
  <c r="L304" i="72"/>
  <c r="P303" i="72"/>
  <c r="P1857" i="93" s="1"/>
  <c r="Q295" i="72"/>
  <c r="L295" i="72"/>
  <c r="J295" i="72"/>
  <c r="L294" i="72"/>
  <c r="P307" i="72" s="1"/>
  <c r="P1861" i="93" s="1"/>
  <c r="U288" i="72"/>
  <c r="U287" i="72"/>
  <c r="P1840" i="93"/>
  <c r="O1840" i="93"/>
  <c r="P280" i="72"/>
  <c r="P1834" i="93" s="1"/>
  <c r="O280" i="72"/>
  <c r="O1834" i="93" s="1"/>
  <c r="M275" i="72"/>
  <c r="Q274" i="72"/>
  <c r="H273" i="72"/>
  <c r="L222" i="72"/>
  <c r="L1776" i="93" s="1"/>
  <c r="I215" i="72"/>
  <c r="T213" i="72"/>
  <c r="J213" i="72"/>
  <c r="Q212" i="72"/>
  <c r="L212" i="72"/>
  <c r="M210" i="72"/>
  <c r="I210" i="72"/>
  <c r="E210" i="72"/>
  <c r="Q209" i="72"/>
  <c r="L209" i="72"/>
  <c r="Q208" i="72"/>
  <c r="L208" i="72"/>
  <c r="P207" i="72"/>
  <c r="P1761" i="93" s="1"/>
  <c r="O207" i="72"/>
  <c r="J182" i="72"/>
  <c r="J1736" i="93" s="1"/>
  <c r="I182" i="72"/>
  <c r="I1736" i="93" s="1"/>
  <c r="J181" i="72"/>
  <c r="J1735" i="93" s="1"/>
  <c r="I181" i="72"/>
  <c r="I1735" i="93" s="1"/>
  <c r="J180" i="72"/>
  <c r="J1734" i="93" s="1"/>
  <c r="I180" i="72"/>
  <c r="I1734" i="93" s="1"/>
  <c r="K178" i="72"/>
  <c r="H178" i="72"/>
  <c r="T172" i="72"/>
  <c r="P171" i="72"/>
  <c r="P1725" i="93" s="1"/>
  <c r="M169" i="72"/>
  <c r="P169" i="72" s="1"/>
  <c r="H169" i="72"/>
  <c r="G169" i="72"/>
  <c r="D169" i="72"/>
  <c r="M168" i="72"/>
  <c r="P168" i="72" s="1"/>
  <c r="H168" i="72"/>
  <c r="G168" i="72"/>
  <c r="D168" i="72"/>
  <c r="M167" i="72"/>
  <c r="P167" i="72" s="1"/>
  <c r="H167" i="72"/>
  <c r="G167" i="72"/>
  <c r="D167" i="72"/>
  <c r="M165" i="72"/>
  <c r="O165" i="72" s="1"/>
  <c r="M164" i="72"/>
  <c r="O164" i="72" s="1"/>
  <c r="M163" i="72"/>
  <c r="O163" i="72" s="1"/>
  <c r="F160" i="72"/>
  <c r="Q137" i="72"/>
  <c r="L137" i="72"/>
  <c r="Q128" i="72"/>
  <c r="Q127" i="72"/>
  <c r="Q126" i="72"/>
  <c r="Q125" i="72"/>
  <c r="Q119" i="72"/>
  <c r="L119" i="72"/>
  <c r="P115" i="72"/>
  <c r="O115" i="72"/>
  <c r="Q113" i="72"/>
  <c r="L113" i="72"/>
  <c r="J113" i="72"/>
  <c r="Q105" i="72"/>
  <c r="Q104" i="72"/>
  <c r="Q103" i="72"/>
  <c r="Q102" i="72"/>
  <c r="K102" i="72"/>
  <c r="I97" i="72"/>
  <c r="O95" i="72"/>
  <c r="P94" i="72"/>
  <c r="P1648" i="93" s="1"/>
  <c r="O94" i="72"/>
  <c r="Q89" i="72"/>
  <c r="Q87" i="72"/>
  <c r="Q86" i="72"/>
  <c r="Q85" i="72"/>
  <c r="Q83" i="72"/>
  <c r="H83" i="72"/>
  <c r="Q82" i="72"/>
  <c r="Q81" i="72"/>
  <c r="J68" i="72"/>
  <c r="P84" i="72" s="1"/>
  <c r="P1638" i="93" s="1"/>
  <c r="Q60" i="72"/>
  <c r="P57" i="72"/>
  <c r="P1611" i="93" s="1"/>
  <c r="O57" i="72"/>
  <c r="O1611" i="93" s="1"/>
  <c r="F41" i="72"/>
  <c r="F1595" i="93" s="1"/>
  <c r="F40" i="72"/>
  <c r="F1594" i="93" s="1"/>
  <c r="F39" i="72"/>
  <c r="F1593" i="93" s="1"/>
  <c r="E39" i="72"/>
  <c r="E1593" i="93" s="1"/>
  <c r="F38" i="72"/>
  <c r="F1592" i="93" s="1"/>
  <c r="F37" i="72"/>
  <c r="F1591" i="93" s="1"/>
  <c r="F36" i="72"/>
  <c r="F1590" i="93" s="1"/>
  <c r="E36" i="72"/>
  <c r="E1590" i="93" s="1"/>
  <c r="F35" i="72"/>
  <c r="F1589" i="93" s="1"/>
  <c r="F34" i="72"/>
  <c r="F1588" i="93" s="1"/>
  <c r="F33" i="72"/>
  <c r="F1587" i="93" s="1"/>
  <c r="F32" i="72"/>
  <c r="F1586" i="93" s="1"/>
  <c r="Q31" i="72"/>
  <c r="Q1585" i="93" s="1"/>
  <c r="F31" i="72"/>
  <c r="F1585" i="93" s="1"/>
  <c r="F30" i="72"/>
  <c r="F1584" i="93" s="1"/>
  <c r="E30" i="72"/>
  <c r="E1584" i="93" s="1"/>
  <c r="O29" i="72"/>
  <c r="O15" i="72"/>
  <c r="J15" i="72"/>
  <c r="P11" i="72" s="1"/>
  <c r="F15" i="72"/>
  <c r="P13" i="72"/>
  <c r="P12" i="72"/>
  <c r="P10" i="72"/>
  <c r="O8" i="72"/>
  <c r="M396" i="73"/>
  <c r="O383" i="73"/>
  <c r="N383" i="73"/>
  <c r="F378" i="73"/>
  <c r="F1472" i="93" s="1"/>
  <c r="J1472" i="93" s="1"/>
  <c r="AG307" i="73"/>
  <c r="AF307" i="73" s="1"/>
  <c r="AE307" i="73" s="1"/>
  <c r="AD307" i="73" s="1"/>
  <c r="AC307" i="73" s="1"/>
  <c r="AB307" i="73" s="1"/>
  <c r="AA307" i="73" s="1"/>
  <c r="Z307" i="73" s="1"/>
  <c r="N305" i="73"/>
  <c r="AG304" i="73"/>
  <c r="AF304" i="73" s="1"/>
  <c r="AE304" i="73" s="1"/>
  <c r="AD304" i="73" s="1"/>
  <c r="AC304" i="73" s="1"/>
  <c r="AB304" i="73" s="1"/>
  <c r="AA304" i="73" s="1"/>
  <c r="Z304" i="73" s="1"/>
  <c r="N303" i="73"/>
  <c r="M303" i="73" s="1"/>
  <c r="M1397" i="93" s="1"/>
  <c r="L1397" i="93" s="1"/>
  <c r="AG301" i="73"/>
  <c r="AF301" i="73" s="1"/>
  <c r="AE301" i="73" s="1"/>
  <c r="AD301" i="73" s="1"/>
  <c r="AC301" i="73" s="1"/>
  <c r="AB301" i="73" s="1"/>
  <c r="AA301" i="73" s="1"/>
  <c r="Z301" i="73" s="1"/>
  <c r="N301" i="73"/>
  <c r="J73" i="73"/>
  <c r="J1167" i="93" s="1"/>
  <c r="A3" i="73"/>
  <c r="H3" i="73" s="1"/>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A84" i="74"/>
  <c r="A112" i="74" s="1"/>
  <c r="K71" i="74"/>
  <c r="K1027" i="93" s="1"/>
  <c r="J71" i="74"/>
  <c r="J1027" i="93" s="1"/>
  <c r="I71" i="74"/>
  <c r="I1027" i="93" s="1"/>
  <c r="H71" i="74"/>
  <c r="H102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J69" i="74"/>
  <c r="J1025" i="93" s="1"/>
  <c r="I69" i="74"/>
  <c r="I1025" i="93" s="1"/>
  <c r="H69" i="74"/>
  <c r="G69" i="74"/>
  <c r="F69" i="74"/>
  <c r="F1025" i="93" s="1"/>
  <c r="E69" i="74"/>
  <c r="E1025" i="93" s="1"/>
  <c r="D69" i="74"/>
  <c r="C69" i="74"/>
  <c r="B69" i="74"/>
  <c r="B1025" i="93" s="1"/>
  <c r="K68" i="74"/>
  <c r="K1024" i="93" s="1"/>
  <c r="J68" i="74"/>
  <c r="I68" i="74"/>
  <c r="H68" i="74"/>
  <c r="H1024" i="93" s="1"/>
  <c r="G68" i="74"/>
  <c r="G1024" i="93" s="1"/>
  <c r="F68" i="74"/>
  <c r="E68" i="74"/>
  <c r="D68" i="74"/>
  <c r="D1024" i="93" s="1"/>
  <c r="C68" i="74"/>
  <c r="C1024" i="93" s="1"/>
  <c r="B68" i="74"/>
  <c r="K67" i="74"/>
  <c r="J67" i="74"/>
  <c r="J1023" i="93" s="1"/>
  <c r="I67" i="74"/>
  <c r="I1023" i="93" s="1"/>
  <c r="H67" i="74"/>
  <c r="G67" i="74"/>
  <c r="F67" i="74"/>
  <c r="F1023" i="93" s="1"/>
  <c r="E67" i="74"/>
  <c r="E1023" i="93" s="1"/>
  <c r="D67" i="74"/>
  <c r="C67" i="74"/>
  <c r="B67" i="74"/>
  <c r="B1023" i="93" s="1"/>
  <c r="A64" i="74"/>
  <c r="A93" i="74" s="1"/>
  <c r="A121" i="74" s="1"/>
  <c r="F59" i="74"/>
  <c r="E59" i="74"/>
  <c r="E1015" i="93" s="1"/>
  <c r="D59" i="74"/>
  <c r="D1015" i="93" s="1"/>
  <c r="C59" i="74"/>
  <c r="B59" i="74"/>
  <c r="A56" i="74"/>
  <c r="A86" i="74" s="1"/>
  <c r="A114" i="74" s="1"/>
  <c r="A55" i="74"/>
  <c r="A85" i="74" s="1"/>
  <c r="A113" i="74" s="1"/>
  <c r="A54" i="74"/>
  <c r="A53" i="74"/>
  <c r="A83" i="74" s="1"/>
  <c r="A111" i="74" s="1"/>
  <c r="B41" i="74"/>
  <c r="B997" i="93" s="1"/>
  <c r="K40" i="74"/>
  <c r="K996" i="93" s="1"/>
  <c r="J40" i="74"/>
  <c r="J996" i="93" s="1"/>
  <c r="I40" i="74"/>
  <c r="I996" i="93" s="1"/>
  <c r="H40" i="74"/>
  <c r="H996" i="93" s="1"/>
  <c r="G40" i="74"/>
  <c r="G996" i="93" s="1"/>
  <c r="F40" i="74"/>
  <c r="F996" i="93" s="1"/>
  <c r="E40" i="74"/>
  <c r="E996" i="93" s="1"/>
  <c r="D40" i="74"/>
  <c r="D996" i="93" s="1"/>
  <c r="C40" i="74"/>
  <c r="C996" i="93" s="1"/>
  <c r="B40" i="74"/>
  <c r="B996" i="93" s="1"/>
  <c r="K39" i="74"/>
  <c r="J39" i="74"/>
  <c r="I39" i="74"/>
  <c r="I995" i="93" s="1"/>
  <c r="H39" i="74"/>
  <c r="H995" i="93" s="1"/>
  <c r="G39" i="74"/>
  <c r="F39" i="74"/>
  <c r="E39" i="74"/>
  <c r="E995" i="93" s="1"/>
  <c r="D39" i="74"/>
  <c r="D995" i="93" s="1"/>
  <c r="C39" i="74"/>
  <c r="B39" i="74"/>
  <c r="K38" i="74"/>
  <c r="K994" i="93" s="1"/>
  <c r="J38" i="74"/>
  <c r="I38" i="74"/>
  <c r="H38" i="74"/>
  <c r="H994" i="93" s="1"/>
  <c r="G38" i="74"/>
  <c r="G994" i="93" s="1"/>
  <c r="F38" i="74"/>
  <c r="E38" i="74"/>
  <c r="D38" i="74"/>
  <c r="D994" i="93" s="1"/>
  <c r="C38" i="74"/>
  <c r="C994" i="93" s="1"/>
  <c r="B38" i="74"/>
  <c r="K37" i="74"/>
  <c r="K993" i="93" s="1"/>
  <c r="J37" i="74"/>
  <c r="J993" i="93" s="1"/>
  <c r="I37" i="74"/>
  <c r="H37" i="74"/>
  <c r="G37" i="74"/>
  <c r="G993" i="93" s="1"/>
  <c r="F37" i="74"/>
  <c r="F993" i="93" s="1"/>
  <c r="E37" i="74"/>
  <c r="D37" i="74"/>
  <c r="C37" i="74"/>
  <c r="C993" i="93" s="1"/>
  <c r="B37" i="74"/>
  <c r="B993" i="93" s="1"/>
  <c r="A33" i="74"/>
  <c r="A63" i="74" s="1"/>
  <c r="A92" i="74" s="1"/>
  <c r="A120" i="74" s="1"/>
  <c r="A32" i="74"/>
  <c r="A62" i="74" s="1"/>
  <c r="A91" i="74" s="1"/>
  <c r="A119" i="74" s="1"/>
  <c r="A31" i="74"/>
  <c r="A61" i="74" s="1"/>
  <c r="A90" i="74" s="1"/>
  <c r="A118" i="74" s="1"/>
  <c r="K29" i="74"/>
  <c r="J29" i="74"/>
  <c r="J985" i="93" s="1"/>
  <c r="I29" i="74"/>
  <c r="I985" i="93" s="1"/>
  <c r="H29" i="74"/>
  <c r="G29" i="74"/>
  <c r="F29" i="74"/>
  <c r="F985" i="93" s="1"/>
  <c r="E29" i="74"/>
  <c r="E985" i="93" s="1"/>
  <c r="D29" i="74"/>
  <c r="C29" i="74"/>
  <c r="B28" i="74"/>
  <c r="B20" i="74"/>
  <c r="R19" i="74"/>
  <c r="D18" i="74"/>
  <c r="C13" i="74"/>
  <c r="N11" i="74"/>
  <c r="G6" i="74"/>
  <c r="N3" i="74"/>
  <c r="F188" i="75"/>
  <c r="C59" i="84" s="1"/>
  <c r="I59" i="84" s="1"/>
  <c r="K185" i="75"/>
  <c r="C60" i="84" s="1"/>
  <c r="F177" i="75"/>
  <c r="K175" i="75"/>
  <c r="F168" i="75"/>
  <c r="P167" i="75"/>
  <c r="C61" i="84" s="1"/>
  <c r="K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P55" i="66" s="1"/>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R804" i="93" s="1"/>
  <c r="Q47" i="75"/>
  <c r="Q804" i="93" s="1"/>
  <c r="I47" i="75"/>
  <c r="I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R803" i="93" s="1"/>
  <c r="Q46" i="75"/>
  <c r="Q803" i="93" s="1"/>
  <c r="I46" i="75"/>
  <c r="I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R802" i="93" s="1"/>
  <c r="Q45" i="75"/>
  <c r="Q802" i="93" s="1"/>
  <c r="I45" i="75"/>
  <c r="I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R801" i="93" s="1"/>
  <c r="Q44" i="75"/>
  <c r="Q801" i="93" s="1"/>
  <c r="K44" i="75"/>
  <c r="L44" i="75" s="1"/>
  <c r="I44" i="75"/>
  <c r="I801" i="93" s="1"/>
  <c r="K801" i="93" s="1"/>
  <c r="L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R800" i="93" s="1"/>
  <c r="Q43" i="75"/>
  <c r="Q800" i="93" s="1"/>
  <c r="K43" i="75"/>
  <c r="L43" i="75" s="1"/>
  <c r="I43" i="75"/>
  <c r="I800" i="93" s="1"/>
  <c r="K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R799" i="93" s="1"/>
  <c r="Q42" i="75"/>
  <c r="Q799" i="93" s="1"/>
  <c r="I42" i="75"/>
  <c r="I799" i="93" s="1"/>
  <c r="K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R798" i="93" s="1"/>
  <c r="Q41" i="75"/>
  <c r="Q798" i="93" s="1"/>
  <c r="I41" i="75"/>
  <c r="I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R797" i="93" s="1"/>
  <c r="Q40" i="75"/>
  <c r="Q797" i="93" s="1"/>
  <c r="I40" i="75"/>
  <c r="I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R796" i="93" s="1"/>
  <c r="Q39" i="75"/>
  <c r="Q796" i="93" s="1"/>
  <c r="K39" i="75"/>
  <c r="L39" i="75" s="1"/>
  <c r="I39" i="75"/>
  <c r="I796" i="93" s="1"/>
  <c r="K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R795" i="93" s="1"/>
  <c r="Q38" i="75"/>
  <c r="Q795" i="93" s="1"/>
  <c r="I38" i="75"/>
  <c r="I795" i="93" s="1"/>
  <c r="K795" i="93" s="1"/>
  <c r="L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R794" i="93" s="1"/>
  <c r="Q37" i="75"/>
  <c r="Q794" i="93" s="1"/>
  <c r="I37" i="75"/>
  <c r="I794" i="93" s="1"/>
  <c r="K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R793" i="93" s="1"/>
  <c r="Q36" i="75"/>
  <c r="Q793" i="93" s="1"/>
  <c r="I36" i="75"/>
  <c r="I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R792" i="93" s="1"/>
  <c r="Q35" i="75"/>
  <c r="Q792" i="93" s="1"/>
  <c r="I35" i="75"/>
  <c r="I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R791" i="93" s="1"/>
  <c r="Q34" i="75"/>
  <c r="Q791" i="93" s="1"/>
  <c r="I34" i="75"/>
  <c r="I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R790" i="93" s="1"/>
  <c r="Q33" i="75"/>
  <c r="Q790" i="93" s="1"/>
  <c r="K33" i="75"/>
  <c r="L33" i="75" s="1"/>
  <c r="I33" i="75"/>
  <c r="I790" i="93" s="1"/>
  <c r="K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R789" i="93" s="1"/>
  <c r="Q32" i="75"/>
  <c r="Q789" i="93" s="1"/>
  <c r="K32" i="75"/>
  <c r="L32" i="75" s="1"/>
  <c r="I32" i="75"/>
  <c r="I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R788" i="93" s="1"/>
  <c r="Q31" i="75"/>
  <c r="Q788" i="93" s="1"/>
  <c r="I31" i="75"/>
  <c r="I788" i="93" s="1"/>
  <c r="K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Q787" i="93" s="1"/>
  <c r="I30" i="75"/>
  <c r="I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R786" i="93" s="1"/>
  <c r="Q29" i="75"/>
  <c r="Q786" i="93" s="1"/>
  <c r="I29" i="75"/>
  <c r="I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R785" i="93" s="1"/>
  <c r="Q28" i="75"/>
  <c r="Q785" i="93" s="1"/>
  <c r="I28" i="75"/>
  <c r="I785" i="93" s="1"/>
  <c r="K785" i="93" s="1"/>
  <c r="L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R784" i="93" s="1"/>
  <c r="Q27" i="75"/>
  <c r="Q784" i="93" s="1"/>
  <c r="I27" i="75"/>
  <c r="I784" i="93" s="1"/>
  <c r="K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R783" i="93" s="1"/>
  <c r="Q26" i="75"/>
  <c r="Q783" i="93" s="1"/>
  <c r="I26" i="75"/>
  <c r="I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R782" i="93" s="1"/>
  <c r="Q25" i="75"/>
  <c r="Q782" i="93" s="1"/>
  <c r="I25" i="75"/>
  <c r="I782" i="93" s="1"/>
  <c r="K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R781" i="93" s="1"/>
  <c r="Q24" i="75"/>
  <c r="Q781" i="93" s="1"/>
  <c r="K24" i="75"/>
  <c r="L24" i="75" s="1"/>
  <c r="I24" i="75"/>
  <c r="I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R780" i="93" s="1"/>
  <c r="Q23" i="75"/>
  <c r="Q780" i="93" s="1"/>
  <c r="I23" i="75"/>
  <c r="I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Q779" i="93" s="1"/>
  <c r="I22" i="75"/>
  <c r="I779" i="93" s="1"/>
  <c r="K779" i="93" s="1"/>
  <c r="L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R778" i="93" s="1"/>
  <c r="Q21" i="75"/>
  <c r="Q778" i="93" s="1"/>
  <c r="I21" i="75"/>
  <c r="I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R20" i="75"/>
  <c r="R777" i="93" s="1"/>
  <c r="Q20" i="75"/>
  <c r="Q777" i="93" s="1"/>
  <c r="I20" i="75"/>
  <c r="I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R19" i="75"/>
  <c r="R776" i="93" s="1"/>
  <c r="Q19" i="75"/>
  <c r="Q776" i="93" s="1"/>
  <c r="I19" i="75"/>
  <c r="I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R18" i="75"/>
  <c r="R775" i="93" s="1"/>
  <c r="Q18" i="75"/>
  <c r="Q775" i="93" s="1"/>
  <c r="I18" i="75"/>
  <c r="I775" i="93" s="1"/>
  <c r="K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R17" i="75"/>
  <c r="R774" i="93" s="1"/>
  <c r="Q17" i="75"/>
  <c r="Q774" i="93" s="1"/>
  <c r="I17" i="75"/>
  <c r="I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R773" i="93" s="1"/>
  <c r="Q16" i="75"/>
  <c r="Q773" i="93" s="1"/>
  <c r="I16" i="75"/>
  <c r="I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Q770" i="93" s="1"/>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U3" i="75"/>
  <c r="M37" i="76"/>
  <c r="L37" i="76"/>
  <c r="K37" i="76"/>
  <c r="J37" i="76"/>
  <c r="I37" i="76"/>
  <c r="M21" i="76"/>
  <c r="L21" i="76"/>
  <c r="I15" i="75" s="1"/>
  <c r="K21" i="76"/>
  <c r="I13" i="75" s="1"/>
  <c r="J21" i="76"/>
  <c r="I10" i="75" s="1"/>
  <c r="I21"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8" i="78" s="1"/>
  <c r="D35" i="78"/>
  <c r="W34" i="78"/>
  <c r="O34" i="78"/>
  <c r="V33" i="78"/>
  <c r="S33" i="78"/>
  <c r="P33" i="78"/>
  <c r="M33" i="78"/>
  <c r="J33" i="78"/>
  <c r="G33" i="78"/>
  <c r="W28" i="78"/>
  <c r="O28" i="78"/>
  <c r="V27" i="78"/>
  <c r="S27" i="78"/>
  <c r="P27" i="78"/>
  <c r="M27" i="78"/>
  <c r="J27" i="78"/>
  <c r="G27" i="78"/>
  <c r="F35" i="78" s="1"/>
  <c r="F25" i="78"/>
  <c r="W24" i="78"/>
  <c r="O24" i="78"/>
  <c r="V23" i="78"/>
  <c r="S23" i="78"/>
  <c r="M23" i="78"/>
  <c r="G23" i="78"/>
  <c r="W18" i="78"/>
  <c r="O18" i="78"/>
  <c r="V17" i="78"/>
  <c r="S17" i="78"/>
  <c r="P17" i="78"/>
  <c r="M17" i="78"/>
  <c r="J17" i="78"/>
  <c r="G17" i="78"/>
  <c r="U16" i="78"/>
  <c r="A16" i="78"/>
  <c r="U15" i="78"/>
  <c r="A15" i="78"/>
  <c r="U14" i="78"/>
  <c r="A14" i="78"/>
  <c r="W7" i="78"/>
  <c r="O7" i="78"/>
  <c r="V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E11" i="26"/>
  <c r="E12" i="26" s="1"/>
  <c r="C11" i="26"/>
  <c r="C12" i="26" s="1"/>
  <c r="E5" i="26"/>
  <c r="D5" i="26"/>
  <c r="D11" i="26" s="1"/>
  <c r="D12" i="26" s="1"/>
  <c r="A1" i="26"/>
  <c r="I58" i="68"/>
  <c r="J600" i="93" s="1"/>
  <c r="D42" i="68"/>
  <c r="D405" i="93" s="1"/>
  <c r="N41" i="68"/>
  <c r="N40" i="68"/>
  <c r="N39" i="68"/>
  <c r="N38" i="68"/>
  <c r="N37" i="68"/>
  <c r="S34" i="68"/>
  <c r="L30" i="68"/>
  <c r="S16" i="68"/>
  <c r="S3" i="68"/>
  <c r="L151" i="67"/>
  <c r="P171" i="66"/>
  <c r="P86" i="66"/>
  <c r="H86" i="66"/>
  <c r="P84" i="66"/>
  <c r="H84" i="66"/>
  <c r="P83" i="66"/>
  <c r="H83" i="66"/>
  <c r="N84" i="66" s="1"/>
  <c r="H72" i="66"/>
  <c r="H13" i="84" s="1"/>
  <c r="N55" i="66"/>
  <c r="J39" i="66"/>
  <c r="I3" i="76" s="1"/>
  <c r="L38" i="66"/>
  <c r="O9" i="66"/>
  <c r="A2" i="79"/>
  <c r="DZ781" i="93" l="1"/>
  <c r="FR782" i="93"/>
  <c r="K29" i="75"/>
  <c r="L29" i="75" s="1"/>
  <c r="K804" i="93"/>
  <c r="AH767" i="93"/>
  <c r="GA768" i="93"/>
  <c r="IC772" i="93"/>
  <c r="FN772" i="93"/>
  <c r="GY772" i="93"/>
  <c r="CE774" i="93"/>
  <c r="IK775" i="93"/>
  <c r="CG776" i="93"/>
  <c r="GD777" i="93"/>
  <c r="AD781" i="93"/>
  <c r="DJ781" i="93"/>
  <c r="EW782" i="93"/>
  <c r="EU783" i="93"/>
  <c r="DG783" i="93"/>
  <c r="A784" i="93"/>
  <c r="BT784" i="93"/>
  <c r="BX784" i="93"/>
  <c r="GU784" i="93"/>
  <c r="JH785" i="93"/>
  <c r="HD785" i="93"/>
  <c r="CO785" i="93"/>
  <c r="BM786" i="93"/>
  <c r="FR786" i="93"/>
  <c r="IL786" i="93"/>
  <c r="AP787" i="93"/>
  <c r="HS787" i="93"/>
  <c r="CJ789" i="93"/>
  <c r="HY791" i="93"/>
  <c r="BF792" i="93"/>
  <c r="EY793" i="93"/>
  <c r="HD794" i="93"/>
  <c r="AK795" i="93"/>
  <c r="GW796" i="93"/>
  <c r="DZ797" i="93"/>
  <c r="DT801" i="93"/>
  <c r="GF801" i="93"/>
  <c r="DG803" i="93"/>
  <c r="H916" i="93"/>
  <c r="M1718" i="93"/>
  <c r="O1718" i="93" s="1"/>
  <c r="E37" i="78"/>
  <c r="K774" i="93"/>
  <c r="L800" i="93"/>
  <c r="C41" i="74"/>
  <c r="C997" i="93" s="1"/>
  <c r="D34" i="86"/>
  <c r="P182" i="93"/>
  <c r="M474" i="93"/>
  <c r="J500" i="93"/>
  <c r="M562" i="93"/>
  <c r="P562" i="93"/>
  <c r="G566" i="93"/>
  <c r="S566" i="93"/>
  <c r="CX767" i="93"/>
  <c r="BZ767" i="93"/>
  <c r="AE769" i="93"/>
  <c r="JC770" i="93"/>
  <c r="HL770" i="93"/>
  <c r="FR772" i="93"/>
  <c r="HI772" i="93"/>
  <c r="CO774" i="93"/>
  <c r="ID776" i="93"/>
  <c r="DV776" i="93"/>
  <c r="GE777" i="93"/>
  <c r="AH781" i="93"/>
  <c r="DV781" i="93"/>
  <c r="A782" i="93"/>
  <c r="FC782" i="93"/>
  <c r="DO783" i="93"/>
  <c r="CE784" i="93"/>
  <c r="HD784" i="93"/>
  <c r="DL785" i="93"/>
  <c r="BY786" i="93"/>
  <c r="FY786" i="93"/>
  <c r="JQ786" i="93"/>
  <c r="BF787" i="93"/>
  <c r="DB787" i="93"/>
  <c r="IH787" i="93"/>
  <c r="EL789" i="93"/>
  <c r="CY789" i="93"/>
  <c r="DF789" i="93"/>
  <c r="AD791" i="93"/>
  <c r="JE791" i="93"/>
  <c r="BN792" i="93"/>
  <c r="JK793" i="93"/>
  <c r="FK793" i="93"/>
  <c r="IM793" i="93"/>
  <c r="AB794" i="93"/>
  <c r="IJ794" i="93"/>
  <c r="BA795" i="93"/>
  <c r="EX797" i="93"/>
  <c r="AV799" i="93"/>
  <c r="IR801" i="93"/>
  <c r="EX803" i="93"/>
  <c r="N894" i="93"/>
  <c r="P894" i="93"/>
  <c r="M898" i="93"/>
  <c r="L903" i="93"/>
  <c r="N903" i="93"/>
  <c r="I916" i="93"/>
  <c r="N1477" i="93"/>
  <c r="M1722" i="93"/>
  <c r="P1722" i="93" s="1"/>
  <c r="DN767" i="93"/>
  <c r="DV789" i="93"/>
  <c r="FR797" i="93"/>
  <c r="FR776" i="93"/>
  <c r="HT784" i="93"/>
  <c r="K780" i="93"/>
  <c r="L780" i="93" s="1"/>
  <c r="K25" i="75"/>
  <c r="L25" i="75" s="1"/>
  <c r="K36" i="75"/>
  <c r="L36" i="75" s="1"/>
  <c r="O272" i="72"/>
  <c r="EL767" i="93"/>
  <c r="DR769" i="93"/>
  <c r="FY776" i="93"/>
  <c r="BJ781" i="93"/>
  <c r="ET781" i="93"/>
  <c r="GT782" i="93"/>
  <c r="DS784" i="93"/>
  <c r="II784" i="93"/>
  <c r="CO786" i="93"/>
  <c r="GW786" i="93"/>
  <c r="EX787" i="93"/>
  <c r="EP789" i="93"/>
  <c r="EP792" i="93"/>
  <c r="GN795" i="93"/>
  <c r="IP797" i="93"/>
  <c r="GU797" i="93"/>
  <c r="EF799" i="93"/>
  <c r="JG803" i="93"/>
  <c r="FS803" i="93"/>
  <c r="M1829" i="93"/>
  <c r="DK784" i="93"/>
  <c r="L775" i="93"/>
  <c r="L796" i="93"/>
  <c r="D15" i="83"/>
  <c r="D56" i="86"/>
  <c r="M513" i="93"/>
  <c r="U512" i="93"/>
  <c r="EY769" i="93"/>
  <c r="CI770" i="93"/>
  <c r="CY774" i="93"/>
  <c r="AS774" i="93"/>
  <c r="HE776" i="93"/>
  <c r="IY778" i="93"/>
  <c r="GY778" i="93"/>
  <c r="BN781" i="93"/>
  <c r="FZ781" i="93"/>
  <c r="GX782" i="93"/>
  <c r="AD783" i="93"/>
  <c r="EY783" i="93"/>
  <c r="EY784" i="93"/>
  <c r="IY784" i="93"/>
  <c r="AJ785" i="93"/>
  <c r="IJ785" i="93"/>
  <c r="AG786" i="93"/>
  <c r="CX786" i="93"/>
  <c r="GX786" i="93"/>
  <c r="EY787" i="93"/>
  <c r="GM789" i="93"/>
  <c r="II789" i="93"/>
  <c r="FM791" i="93"/>
  <c r="HJ792" i="93"/>
  <c r="AM793" i="93"/>
  <c r="DT794" i="93"/>
  <c r="GR795" i="93"/>
  <c r="HN797" i="93"/>
  <c r="HS797" i="93"/>
  <c r="GR799" i="93"/>
  <c r="AB801" i="93"/>
  <c r="K885" i="93"/>
  <c r="J889" i="93"/>
  <c r="I894" i="93"/>
  <c r="G903" i="93"/>
  <c r="O903" i="93"/>
  <c r="M907" i="93"/>
  <c r="J1935" i="93"/>
  <c r="K778" i="93"/>
  <c r="S474" i="93"/>
  <c r="G500" i="93"/>
  <c r="S500" i="93"/>
  <c r="M566" i="93"/>
  <c r="GD767" i="93"/>
  <c r="CO768" i="93"/>
  <c r="AR770" i="93"/>
  <c r="EZ770" i="93"/>
  <c r="FA772" i="93"/>
  <c r="GM772" i="93"/>
  <c r="HY772" i="93"/>
  <c r="II774" i="93"/>
  <c r="AY774" i="93"/>
  <c r="EQ774" i="93"/>
  <c r="AR775" i="93"/>
  <c r="HN776" i="93"/>
  <c r="JP781" i="93"/>
  <c r="GP781" i="93"/>
  <c r="CD781" i="93"/>
  <c r="IP781" i="93"/>
  <c r="Y782" i="93"/>
  <c r="AE783" i="93"/>
  <c r="HV783" i="93"/>
  <c r="FO784" i="93"/>
  <c r="BY785" i="93"/>
  <c r="BH785" i="93"/>
  <c r="IZ785" i="93"/>
  <c r="AK786" i="93"/>
  <c r="EK786" i="93"/>
  <c r="HI786" i="93"/>
  <c r="JK787" i="93"/>
  <c r="FO787" i="93"/>
  <c r="BK793" i="93"/>
  <c r="CQ793" i="93"/>
  <c r="EB794" i="93"/>
  <c r="FS794" i="93"/>
  <c r="HT795" i="93"/>
  <c r="HX795" i="93"/>
  <c r="BH801" i="93"/>
  <c r="CN801" i="93"/>
  <c r="K889" i="93"/>
  <c r="J894" i="93"/>
  <c r="I898" i="93"/>
  <c r="H903" i="93"/>
  <c r="P903" i="93"/>
  <c r="K35" i="75"/>
  <c r="L35" i="75" s="1"/>
  <c r="L303" i="73"/>
  <c r="H83" i="93"/>
  <c r="P554" i="93"/>
  <c r="P582" i="93"/>
  <c r="P586" i="93" s="1"/>
  <c r="JO769" i="93"/>
  <c r="FC772" i="93"/>
  <c r="GS772" i="93"/>
  <c r="BD774" i="93"/>
  <c r="EV774" i="93"/>
  <c r="IT776" i="93"/>
  <c r="CP781" i="93"/>
  <c r="JJ781" i="93"/>
  <c r="CY783" i="93"/>
  <c r="BZ783" i="93"/>
  <c r="FP784" i="93"/>
  <c r="AT786" i="93"/>
  <c r="ES786" i="93"/>
  <c r="HY786" i="93"/>
  <c r="GD787" i="93"/>
  <c r="IE793" i="93"/>
  <c r="CY793" i="93"/>
  <c r="FQ796" i="93"/>
  <c r="FT799" i="93"/>
  <c r="IF799" i="93"/>
  <c r="DD801" i="93"/>
  <c r="AA803" i="93"/>
  <c r="K1732" i="93"/>
  <c r="P469" i="93"/>
  <c r="J730" i="93"/>
  <c r="AT776" i="93"/>
  <c r="CQ783" i="93"/>
  <c r="AI784" i="93"/>
  <c r="BI786" i="93"/>
  <c r="FE786" i="93"/>
  <c r="BG803" i="93"/>
  <c r="O1649" i="93"/>
  <c r="M1841" i="93"/>
  <c r="K20" i="75"/>
  <c r="L20" i="75" s="1"/>
  <c r="C1" i="86"/>
  <c r="A2" i="88"/>
  <c r="A1" i="89"/>
  <c r="U539" i="93"/>
  <c r="A539" i="93"/>
  <c r="U540" i="93"/>
  <c r="BB767" i="93"/>
  <c r="CT767" i="93"/>
  <c r="FJ767" i="93"/>
  <c r="JG769" i="93"/>
  <c r="FC769" i="93"/>
  <c r="GD769" i="93"/>
  <c r="HJ769" i="93"/>
  <c r="JP769" i="93"/>
  <c r="GA770" i="93"/>
  <c r="HA770" i="93"/>
  <c r="IB771" i="93"/>
  <c r="HF771" i="93"/>
  <c r="GK771" i="93"/>
  <c r="FP771" i="93"/>
  <c r="CX771" i="93"/>
  <c r="FJ771" i="93"/>
  <c r="GP771" i="93"/>
  <c r="HQ771" i="93"/>
  <c r="JQ773" i="93"/>
  <c r="JH773" i="93"/>
  <c r="IQ773" i="93"/>
  <c r="HP773" i="93"/>
  <c r="GP773" i="93"/>
  <c r="FJ773" i="93"/>
  <c r="EX773" i="93"/>
  <c r="ED773" i="93"/>
  <c r="DH773" i="93"/>
  <c r="CM773" i="93"/>
  <c r="BR773" i="93"/>
  <c r="AV773" i="93"/>
  <c r="AA773" i="93"/>
  <c r="JB773" i="93"/>
  <c r="HV773" i="93"/>
  <c r="GE773" i="93"/>
  <c r="EZ773" i="93"/>
  <c r="HX773" i="93"/>
  <c r="BB773" i="93"/>
  <c r="CB773" i="93"/>
  <c r="DC773" i="93"/>
  <c r="EI773" i="93"/>
  <c r="FD773" i="93"/>
  <c r="GZ773" i="93"/>
  <c r="IV773" i="93"/>
  <c r="HX779" i="93"/>
  <c r="GR779" i="93"/>
  <c r="FL779" i="93"/>
  <c r="EF779" i="93"/>
  <c r="CJ779" i="93"/>
  <c r="AV779" i="93"/>
  <c r="JL779" i="93"/>
  <c r="HP779" i="93"/>
  <c r="GJ779" i="93"/>
  <c r="FD779" i="93"/>
  <c r="DP779" i="93"/>
  <c r="CB779" i="93"/>
  <c r="AN779" i="93"/>
  <c r="GZ779" i="93"/>
  <c r="EN779" i="93"/>
  <c r="BD779" i="93"/>
  <c r="DH779" i="93"/>
  <c r="HH779" i="93"/>
  <c r="JI780" i="93"/>
  <c r="JA780" i="93"/>
  <c r="HI780" i="93"/>
  <c r="GC780" i="93"/>
  <c r="EW780" i="93"/>
  <c r="DA780" i="93"/>
  <c r="BU780" i="93"/>
  <c r="AO780" i="93"/>
  <c r="IK780" i="93"/>
  <c r="HE780" i="93"/>
  <c r="FY780" i="93"/>
  <c r="ES780" i="93"/>
  <c r="CW780" i="93"/>
  <c r="BQ780" i="93"/>
  <c r="AK780" i="93"/>
  <c r="GS780" i="93"/>
  <c r="EC780" i="93"/>
  <c r="BE780" i="93"/>
  <c r="CK780" i="93"/>
  <c r="GO780" i="93"/>
  <c r="IM788" i="93"/>
  <c r="HG788" i="93"/>
  <c r="GA788" i="93"/>
  <c r="EU788" i="93"/>
  <c r="DG788" i="93"/>
  <c r="BS788" i="93"/>
  <c r="W788" i="93"/>
  <c r="JF788" i="93"/>
  <c r="GY788" i="93"/>
  <c r="FK788" i="93"/>
  <c r="DO788" i="93"/>
  <c r="BC788" i="93"/>
  <c r="IE788" i="93"/>
  <c r="GQ788" i="93"/>
  <c r="FC788" i="93"/>
  <c r="CY788" i="93"/>
  <c r="AU788" i="93"/>
  <c r="GI788" i="93"/>
  <c r="CI788" i="93"/>
  <c r="HW788" i="93"/>
  <c r="EM788" i="93"/>
  <c r="AM788" i="93"/>
  <c r="IB788" i="93"/>
  <c r="HO788" i="93"/>
  <c r="JN798" i="93"/>
  <c r="JC798" i="93"/>
  <c r="HG798" i="93"/>
  <c r="GA798" i="93"/>
  <c r="CQ798" i="93"/>
  <c r="IU798" i="93"/>
  <c r="GQ798" i="93"/>
  <c r="FC798" i="93"/>
  <c r="HO798" i="93"/>
  <c r="FK798" i="93"/>
  <c r="GI798" i="93"/>
  <c r="JK798" i="93"/>
  <c r="FS798" i="93"/>
  <c r="HW798" i="93"/>
  <c r="GY798" i="93"/>
  <c r="IB798" i="93"/>
  <c r="A1097" i="93"/>
  <c r="H1097" i="93" s="1"/>
  <c r="Q1667" i="93"/>
  <c r="L1667" i="93"/>
  <c r="A1" i="67"/>
  <c r="A1" i="66"/>
  <c r="I40" i="66"/>
  <c r="I51" i="93" s="1"/>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DF48" i="75"/>
  <c r="L72" i="75" s="1"/>
  <c r="DJ48" i="75"/>
  <c r="K73" i="75" s="1"/>
  <c r="DN48" i="75"/>
  <c r="DR48" i="75"/>
  <c r="DV48" i="75"/>
  <c r="M75" i="75" s="1"/>
  <c r="DZ48" i="75"/>
  <c r="L76" i="75" s="1"/>
  <c r="ED48" i="75"/>
  <c r="EH48" i="75"/>
  <c r="J78" i="75" s="1"/>
  <c r="EL48" i="75"/>
  <c r="N78" i="75" s="1"/>
  <c r="EP48" i="75"/>
  <c r="M79" i="75" s="1"/>
  <c r="ET48" i="75"/>
  <c r="EX48" i="75"/>
  <c r="FB48" i="75"/>
  <c r="J95" i="75" s="1"/>
  <c r="J104"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N108" i="75" s="1"/>
  <c r="F59" i="73" s="1"/>
  <c r="HR48" i="75"/>
  <c r="M92" i="75" s="1"/>
  <c r="M109" i="75" s="1"/>
  <c r="HV48" i="75"/>
  <c r="L93" i="75" s="1"/>
  <c r="HZ48" i="75"/>
  <c r="K94" i="75" s="1"/>
  <c r="ID48" i="75"/>
  <c r="IH48" i="75"/>
  <c r="IL48" i="75"/>
  <c r="IP48" i="75"/>
  <c r="IT48" i="75"/>
  <c r="IX48" i="75"/>
  <c r="JB48" i="75"/>
  <c r="JF48" i="75"/>
  <c r="JJ48" i="75"/>
  <c r="JN48" i="75"/>
  <c r="I14" i="75"/>
  <c r="I771" i="93" s="1"/>
  <c r="K771" i="93" s="1"/>
  <c r="L771" i="93" s="1"/>
  <c r="K16" i="75"/>
  <c r="L16" i="75" s="1"/>
  <c r="K37" i="75"/>
  <c r="L37" i="75" s="1"/>
  <c r="K40" i="75"/>
  <c r="L40" i="75" s="1"/>
  <c r="R25" i="74"/>
  <c r="A2" i="90"/>
  <c r="F12" i="85"/>
  <c r="F30" i="86"/>
  <c r="H34" i="86"/>
  <c r="A450" i="93"/>
  <c r="U450" i="93"/>
  <c r="L730" i="93"/>
  <c r="K730" i="93"/>
  <c r="JB767" i="93"/>
  <c r="AL767" i="93"/>
  <c r="BJ767" i="93"/>
  <c r="CD767" i="93"/>
  <c r="DV767" i="93"/>
  <c r="EP767" i="93"/>
  <c r="IV767" i="93"/>
  <c r="IX768" i="93"/>
  <c r="HW768" i="93"/>
  <c r="GG768" i="93"/>
  <c r="FA768" i="93"/>
  <c r="EK768" i="93"/>
  <c r="DO768" i="93"/>
  <c r="CT768" i="93"/>
  <c r="BY768" i="93"/>
  <c r="BC768" i="93"/>
  <c r="AH768" i="93"/>
  <c r="AS768" i="93"/>
  <c r="BS768" i="93"/>
  <c r="CY768" i="93"/>
  <c r="DZ768" i="93"/>
  <c r="EW768" i="93"/>
  <c r="GW768" i="93"/>
  <c r="IM768" i="93"/>
  <c r="CZ769" i="93"/>
  <c r="EH769" i="93"/>
  <c r="FH769" i="93"/>
  <c r="GN769" i="93"/>
  <c r="HO769" i="93"/>
  <c r="IZ769" i="93"/>
  <c r="FE770" i="93"/>
  <c r="GF770" i="93"/>
  <c r="JB771" i="93"/>
  <c r="BX771" i="93"/>
  <c r="FU771" i="93"/>
  <c r="GV771" i="93"/>
  <c r="HV771" i="93"/>
  <c r="AF773" i="93"/>
  <c r="BG773" i="93"/>
  <c r="CH773" i="93"/>
  <c r="DN773" i="93"/>
  <c r="EN773" i="93"/>
  <c r="FT773" i="93"/>
  <c r="HK773" i="93"/>
  <c r="JG773" i="93"/>
  <c r="JL775" i="93"/>
  <c r="IR775" i="93"/>
  <c r="GN775" i="93"/>
  <c r="EB775" i="93"/>
  <c r="CV775" i="93"/>
  <c r="CF775" i="93"/>
  <c r="BH775" i="93"/>
  <c r="AJ775" i="93"/>
  <c r="IZ775" i="93"/>
  <c r="FH775" i="93"/>
  <c r="DL775" i="93"/>
  <c r="CG775" i="93"/>
  <c r="AZ775" i="93"/>
  <c r="AB775" i="93"/>
  <c r="BP775" i="93"/>
  <c r="CO775" i="93"/>
  <c r="ER775" i="93"/>
  <c r="BA776" i="93"/>
  <c r="CP776" i="93"/>
  <c r="EL776" i="93"/>
  <c r="X779" i="93"/>
  <c r="EV779" i="93"/>
  <c r="IF779" i="93"/>
  <c r="JE780" i="93"/>
  <c r="Y780" i="93"/>
  <c r="DM780" i="93"/>
  <c r="HU780" i="93"/>
  <c r="IT782" i="93"/>
  <c r="DV782" i="93"/>
  <c r="DQ782" i="93"/>
  <c r="EL782" i="93"/>
  <c r="DF782" i="93"/>
  <c r="IY782" i="93"/>
  <c r="JO783" i="93"/>
  <c r="JK783" i="93"/>
  <c r="JJ783" i="93"/>
  <c r="CV783" i="93"/>
  <c r="BK783" i="93"/>
  <c r="AT783" i="93"/>
  <c r="BJ783" i="93"/>
  <c r="AU783" i="93"/>
  <c r="IA783" i="93"/>
  <c r="HF783" i="93"/>
  <c r="FR783" i="93"/>
  <c r="GX783" i="93"/>
  <c r="FJ783" i="93"/>
  <c r="FZ783" i="93"/>
  <c r="CA788" i="93"/>
  <c r="JQ788" i="93"/>
  <c r="CX789" i="93"/>
  <c r="CU789" i="93"/>
  <c r="BH789" i="93"/>
  <c r="BT789" i="93"/>
  <c r="BD789" i="93"/>
  <c r="AT789" i="93"/>
  <c r="BO789" i="93"/>
  <c r="AY789" i="93"/>
  <c r="JE790" i="93"/>
  <c r="CQ790" i="93"/>
  <c r="EG790" i="93"/>
  <c r="FX790" i="93"/>
  <c r="AZ790" i="93"/>
  <c r="HO790" i="93"/>
  <c r="K21" i="75"/>
  <c r="L21" i="75" s="1"/>
  <c r="M132" i="78"/>
  <c r="M149" i="78" s="1"/>
  <c r="M151" i="78" s="1"/>
  <c r="M153" i="78" s="1"/>
  <c r="K17" i="75"/>
  <c r="L17" i="75" s="1"/>
  <c r="K28" i="75"/>
  <c r="L28" i="75" s="1"/>
  <c r="K31" i="75"/>
  <c r="L31" i="75" s="1"/>
  <c r="A82" i="75"/>
  <c r="J378" i="73"/>
  <c r="P189" i="72"/>
  <c r="C34" i="84"/>
  <c r="F15" i="85"/>
  <c r="H31" i="86"/>
  <c r="I34" i="86"/>
  <c r="E56" i="86"/>
  <c r="H2" i="91"/>
  <c r="F84" i="92"/>
  <c r="M469" i="93"/>
  <c r="G513" i="93"/>
  <c r="S513" i="93"/>
  <c r="P513" i="93"/>
  <c r="S527" i="93"/>
  <c r="S547" i="93"/>
  <c r="U565" i="93"/>
  <c r="A565" i="93"/>
  <c r="I730" i="93"/>
  <c r="M730" i="93"/>
  <c r="I746" i="93"/>
  <c r="IP767" i="93"/>
  <c r="GZ767" i="93"/>
  <c r="EX767" i="93"/>
  <c r="EH767" i="93"/>
  <c r="DR767" i="93"/>
  <c r="DB767" i="93"/>
  <c r="CL767" i="93"/>
  <c r="BV767" i="93"/>
  <c r="BF767" i="93"/>
  <c r="AP767" i="93"/>
  <c r="Z767" i="93"/>
  <c r="AT767" i="93"/>
  <c r="BN767" i="93"/>
  <c r="CH767" i="93"/>
  <c r="DF767" i="93"/>
  <c r="DZ767" i="93"/>
  <c r="ET767" i="93"/>
  <c r="HU767" i="93"/>
  <c r="JA767" i="93"/>
  <c r="A768" i="93"/>
  <c r="W768" i="93"/>
  <c r="AX768" i="93"/>
  <c r="CD768" i="93"/>
  <c r="DE768" i="93"/>
  <c r="EE768" i="93"/>
  <c r="FF768" i="93"/>
  <c r="HB768" i="93"/>
  <c r="IS768" i="93"/>
  <c r="BV769" i="93"/>
  <c r="DB769" i="93"/>
  <c r="EM769" i="93"/>
  <c r="FS769" i="93"/>
  <c r="GT769" i="93"/>
  <c r="HT769" i="93"/>
  <c r="JK769" i="93"/>
  <c r="JP770" i="93"/>
  <c r="JM770" i="93"/>
  <c r="IB770" i="93"/>
  <c r="HG770" i="93"/>
  <c r="GK770" i="93"/>
  <c r="FP770" i="93"/>
  <c r="EU770" i="93"/>
  <c r="BM770" i="93"/>
  <c r="IC770" i="93"/>
  <c r="DD770" i="93"/>
  <c r="FK770" i="93"/>
  <c r="GQ770" i="93"/>
  <c r="HQ770" i="93"/>
  <c r="JH770" i="93"/>
  <c r="EZ771" i="93"/>
  <c r="FZ771" i="93"/>
  <c r="HA771" i="93"/>
  <c r="JH771" i="93"/>
  <c r="JO773" i="93"/>
  <c r="CV773" i="93"/>
  <c r="AL773" i="93"/>
  <c r="BL773" i="93"/>
  <c r="CR773" i="93"/>
  <c r="DS773" i="93"/>
  <c r="ET773" i="93"/>
  <c r="FZ773" i="93"/>
  <c r="IF773" i="93"/>
  <c r="JK773" i="93"/>
  <c r="IW774" i="93"/>
  <c r="IS774" i="93"/>
  <c r="EK774" i="93"/>
  <c r="DE774" i="93"/>
  <c r="DU774" i="93"/>
  <c r="IN774" i="93"/>
  <c r="AC775" i="93"/>
  <c r="BX775" i="93"/>
  <c r="DD775" i="93"/>
  <c r="HT775" i="93"/>
  <c r="JM776" i="93"/>
  <c r="JI776" i="93"/>
  <c r="IS776" i="93"/>
  <c r="IC776" i="93"/>
  <c r="HM776" i="93"/>
  <c r="GW776" i="93"/>
  <c r="GG776" i="93"/>
  <c r="FQ776" i="93"/>
  <c r="FA776" i="93"/>
  <c r="EK776" i="93"/>
  <c r="DU776" i="93"/>
  <c r="DE776" i="93"/>
  <c r="CO776" i="93"/>
  <c r="BY776" i="93"/>
  <c r="BI776" i="93"/>
  <c r="AS776" i="93"/>
  <c r="AC776" i="93"/>
  <c r="JB776" i="93"/>
  <c r="IL776" i="93"/>
  <c r="HV776" i="93"/>
  <c r="HF776" i="93"/>
  <c r="GP776" i="93"/>
  <c r="FZ776" i="93"/>
  <c r="FJ776" i="93"/>
  <c r="ET776" i="93"/>
  <c r="ED776" i="93"/>
  <c r="DN776" i="93"/>
  <c r="CX776" i="93"/>
  <c r="CH776" i="93"/>
  <c r="BR776" i="93"/>
  <c r="BB776" i="93"/>
  <c r="AL776" i="93"/>
  <c r="JA776" i="93"/>
  <c r="HU776" i="93"/>
  <c r="GO776" i="93"/>
  <c r="FI776" i="93"/>
  <c r="EC776" i="93"/>
  <c r="CW776" i="93"/>
  <c r="BQ776" i="93"/>
  <c r="AK776" i="93"/>
  <c r="BJ776" i="93"/>
  <c r="DF776" i="93"/>
  <c r="ES776" i="93"/>
  <c r="GH776" i="93"/>
  <c r="JQ776" i="93"/>
  <c r="JF777" i="93"/>
  <c r="HW777" i="93"/>
  <c r="HR777" i="93"/>
  <c r="HB777" i="93"/>
  <c r="GL777" i="93"/>
  <c r="FV777" i="93"/>
  <c r="FF777" i="93"/>
  <c r="IA777" i="93"/>
  <c r="GU777" i="93"/>
  <c r="FO777" i="93"/>
  <c r="GT777" i="93"/>
  <c r="IM778" i="93"/>
  <c r="EM778" i="93"/>
  <c r="IE778" i="93"/>
  <c r="BT779" i="93"/>
  <c r="FT779" i="93"/>
  <c r="IN779" i="93"/>
  <c r="BA780" i="93"/>
  <c r="FI780" i="93"/>
  <c r="HY780" i="93"/>
  <c r="BE782" i="93"/>
  <c r="BJ782" i="93"/>
  <c r="HS782" i="93"/>
  <c r="HE782" i="93"/>
  <c r="GS782" i="93"/>
  <c r="GC782" i="93"/>
  <c r="FN782" i="93"/>
  <c r="FB782" i="93"/>
  <c r="HO782" i="93"/>
  <c r="HC782" i="93"/>
  <c r="GM782" i="93"/>
  <c r="FY782" i="93"/>
  <c r="FM782" i="93"/>
  <c r="HN782" i="93"/>
  <c r="GI782" i="93"/>
  <c r="FG782" i="93"/>
  <c r="EQ782" i="93"/>
  <c r="FW782" i="93"/>
  <c r="HI782" i="93"/>
  <c r="BC783" i="93"/>
  <c r="EE788" i="93"/>
  <c r="BS789" i="93"/>
  <c r="IG791" i="93"/>
  <c r="CB791" i="93"/>
  <c r="AP791" i="93"/>
  <c r="Y791" i="93"/>
  <c r="IR791" i="93"/>
  <c r="EJ791" i="93"/>
  <c r="DQ791" i="93"/>
  <c r="CP791" i="93"/>
  <c r="AO791" i="93"/>
  <c r="EC791" i="93"/>
  <c r="CL791" i="93"/>
  <c r="AF791" i="93"/>
  <c r="IJ791" i="93"/>
  <c r="DH791" i="93"/>
  <c r="DB791" i="93"/>
  <c r="BX791" i="93"/>
  <c r="BV791" i="93"/>
  <c r="CG791" i="93"/>
  <c r="AU793" i="93"/>
  <c r="EN804" i="93"/>
  <c r="DD804" i="93"/>
  <c r="IP804" i="93"/>
  <c r="AV804" i="93"/>
  <c r="EJ804" i="93"/>
  <c r="P132" i="78"/>
  <c r="P149" i="78" s="1"/>
  <c r="P151" i="78" s="1"/>
  <c r="P153" i="78" s="1"/>
  <c r="V132" i="78"/>
  <c r="X48" i="75"/>
  <c r="K56" i="75" s="1"/>
  <c r="AB48" i="75"/>
  <c r="J57" i="75" s="1"/>
  <c r="AF48" i="75"/>
  <c r="N57" i="75" s="1"/>
  <c r="AJ48" i="75"/>
  <c r="AN48" i="75"/>
  <c r="L59" i="75" s="1"/>
  <c r="AR48" i="75"/>
  <c r="AV48" i="75"/>
  <c r="J65" i="75" s="1"/>
  <c r="AZ48" i="75"/>
  <c r="N65" i="75" s="1"/>
  <c r="BD48" i="75"/>
  <c r="M64" i="75" s="1"/>
  <c r="BH48" i="75"/>
  <c r="BL48" i="75"/>
  <c r="K69" i="75" s="1"/>
  <c r="BP48" i="75"/>
  <c r="J68" i="75" s="1"/>
  <c r="BT48" i="75"/>
  <c r="N68" i="75" s="1"/>
  <c r="BX48" i="75"/>
  <c r="M61" i="75" s="1"/>
  <c r="CB48" i="75"/>
  <c r="L113" i="75" s="1"/>
  <c r="CF48" i="75"/>
  <c r="K114" i="75" s="1"/>
  <c r="CJ48" i="75"/>
  <c r="CN48" i="75"/>
  <c r="CR48" i="75"/>
  <c r="M116" i="75" s="1"/>
  <c r="CV48" i="75"/>
  <c r="CZ48" i="75"/>
  <c r="K118" i="75" s="1"/>
  <c r="DD48" i="75"/>
  <c r="J72" i="75" s="1"/>
  <c r="DH48" i="75"/>
  <c r="N72" i="75" s="1"/>
  <c r="DL48" i="75"/>
  <c r="M73" i="75" s="1"/>
  <c r="DP48" i="75"/>
  <c r="DT48" i="75"/>
  <c r="K75" i="75" s="1"/>
  <c r="DX48" i="75"/>
  <c r="J76" i="75" s="1"/>
  <c r="EB48" i="75"/>
  <c r="N76" i="75" s="1"/>
  <c r="EF48" i="75"/>
  <c r="EJ48" i="75"/>
  <c r="L78" i="75" s="1"/>
  <c r="EN48" i="75"/>
  <c r="K79" i="75" s="1"/>
  <c r="ER48" i="75"/>
  <c r="EV48" i="75"/>
  <c r="EZ48" i="75"/>
  <c r="FD48" i="75"/>
  <c r="L95" i="75" s="1"/>
  <c r="FH48" i="75"/>
  <c r="K96" i="75" s="1"/>
  <c r="FL48" i="75"/>
  <c r="J101" i="75" s="1"/>
  <c r="FP48" i="75"/>
  <c r="N101" i="75" s="1"/>
  <c r="N104" i="75" s="1"/>
  <c r="FT48" i="75"/>
  <c r="M102" i="75" s="1"/>
  <c r="FX48" i="75"/>
  <c r="L99" i="75" s="1"/>
  <c r="GB48" i="75"/>
  <c r="K100" i="75" s="1"/>
  <c r="GF48" i="75"/>
  <c r="J97" i="75" s="1"/>
  <c r="GJ48" i="75"/>
  <c r="N97" i="75" s="1"/>
  <c r="N106" i="75" s="1"/>
  <c r="GN48" i="75"/>
  <c r="M98" i="75" s="1"/>
  <c r="GR48" i="75"/>
  <c r="L87" i="75" s="1"/>
  <c r="L106" i="75" s="1"/>
  <c r="GV48" i="75"/>
  <c r="K88" i="75" s="1"/>
  <c r="K84" i="75" s="1"/>
  <c r="GZ48" i="75"/>
  <c r="J89" i="75" s="1"/>
  <c r="HD48" i="75"/>
  <c r="N89" i="75" s="1"/>
  <c r="HH48" i="75"/>
  <c r="M90" i="75" s="1"/>
  <c r="HL48" i="75"/>
  <c r="L91" i="75" s="1"/>
  <c r="L108" i="75" s="1"/>
  <c r="HP48" i="75"/>
  <c r="K92" i="75" s="1"/>
  <c r="K109" i="75" s="1"/>
  <c r="K56" i="73" s="1"/>
  <c r="HT48" i="75"/>
  <c r="J93" i="75" s="1"/>
  <c r="HX48" i="75"/>
  <c r="N93" i="75" s="1"/>
  <c r="IB48" i="75"/>
  <c r="M94" i="75" s="1"/>
  <c r="M84" i="75" s="1"/>
  <c r="IF48" i="75"/>
  <c r="IJ48" i="75"/>
  <c r="IN48" i="75"/>
  <c r="IR48" i="75"/>
  <c r="IV48" i="75"/>
  <c r="IZ48" i="75"/>
  <c r="JD48" i="75"/>
  <c r="JH48" i="75"/>
  <c r="JL48" i="75"/>
  <c r="JP48" i="75"/>
  <c r="K46" i="75"/>
  <c r="L46" i="75" s="1"/>
  <c r="K47" i="75"/>
  <c r="L47" i="75" s="1"/>
  <c r="Q55" i="73"/>
  <c r="E35" i="72"/>
  <c r="E1589" i="93" s="1"/>
  <c r="O171" i="72"/>
  <c r="O1725" i="93" s="1"/>
  <c r="L279" i="72"/>
  <c r="L1833" i="93" s="1"/>
  <c r="P294" i="72"/>
  <c r="P1848" i="93" s="1"/>
  <c r="O303" i="72"/>
  <c r="O1857" i="93" s="1"/>
  <c r="A2" i="84"/>
  <c r="C29" i="84"/>
  <c r="C10" i="86"/>
  <c r="C32" i="86"/>
  <c r="H56" i="86"/>
  <c r="C8" i="90"/>
  <c r="C139" i="90" s="1"/>
  <c r="C28" i="90"/>
  <c r="G5" i="92" s="1"/>
  <c r="G453" i="93"/>
  <c r="S453" i="93"/>
  <c r="J463" i="93"/>
  <c r="G527" i="93"/>
  <c r="U546" i="93"/>
  <c r="A546" i="93"/>
  <c r="G562" i="93"/>
  <c r="J562" i="93"/>
  <c r="AD767" i="93"/>
  <c r="AX767" i="93"/>
  <c r="BR767" i="93"/>
  <c r="CP767" i="93"/>
  <c r="DJ767" i="93"/>
  <c r="ED767" i="93"/>
  <c r="EY767" i="93"/>
  <c r="JL767" i="93"/>
  <c r="JO768" i="93"/>
  <c r="AC768" i="93"/>
  <c r="BI768" i="93"/>
  <c r="CI768" i="93"/>
  <c r="DJ768" i="93"/>
  <c r="EP768" i="93"/>
  <c r="FK768" i="93"/>
  <c r="HR768" i="93"/>
  <c r="JI768" i="93"/>
  <c r="Z769" i="93"/>
  <c r="BW769" i="93"/>
  <c r="DC769" i="93"/>
  <c r="FX769" i="93"/>
  <c r="GY769" i="93"/>
  <c r="JL769" i="93"/>
  <c r="W770" i="93"/>
  <c r="DY770" i="93"/>
  <c r="FU770" i="93"/>
  <c r="GV770" i="93"/>
  <c r="HW770" i="93"/>
  <c r="FE771" i="93"/>
  <c r="GF771" i="93"/>
  <c r="HL771" i="93"/>
  <c r="JM771" i="93"/>
  <c r="JJ772" i="93"/>
  <c r="FI772" i="93"/>
  <c r="FY772" i="93"/>
  <c r="GO772" i="93"/>
  <c r="HC772" i="93"/>
  <c r="HS772" i="93"/>
  <c r="IY773" i="93"/>
  <c r="DB773" i="93"/>
  <c r="AQ773" i="93"/>
  <c r="BW773" i="93"/>
  <c r="CX773" i="93"/>
  <c r="DX773" i="93"/>
  <c r="EY773" i="93"/>
  <c r="GU773" i="93"/>
  <c r="IL773" i="93"/>
  <c r="JL773" i="93"/>
  <c r="BS774" i="93"/>
  <c r="BO774" i="93"/>
  <c r="BT774" i="93"/>
  <c r="EA774" i="93"/>
  <c r="IY774" i="93"/>
  <c r="CW775" i="93"/>
  <c r="AK775" i="93"/>
  <c r="BY775" i="93"/>
  <c r="DT775" i="93"/>
  <c r="IJ775" i="93"/>
  <c r="AD776" i="93"/>
  <c r="BZ776" i="93"/>
  <c r="DM776" i="93"/>
  <c r="FB776" i="93"/>
  <c r="GX776" i="93"/>
  <c r="IK776" i="93"/>
  <c r="FN777" i="93"/>
  <c r="HJ777" i="93"/>
  <c r="JN778" i="93"/>
  <c r="HW778" i="93"/>
  <c r="GQ778" i="93"/>
  <c r="FK778" i="93"/>
  <c r="DG778" i="93"/>
  <c r="AU778" i="93"/>
  <c r="JK778" i="93"/>
  <c r="HO778" i="93"/>
  <c r="GI778" i="93"/>
  <c r="FC778" i="93"/>
  <c r="CY778" i="93"/>
  <c r="AM778" i="93"/>
  <c r="JC778" i="93"/>
  <c r="GA778" i="93"/>
  <c r="CA778" i="93"/>
  <c r="JP778" i="93"/>
  <c r="FS778" i="93"/>
  <c r="CZ779" i="93"/>
  <c r="GB779" i="93"/>
  <c r="CG780" i="93"/>
  <c r="FM780" i="93"/>
  <c r="JQ780" i="93"/>
  <c r="CV781" i="93"/>
  <c r="AT781" i="93"/>
  <c r="BO782" i="93"/>
  <c r="GH782" i="93"/>
  <c r="HY782" i="93"/>
  <c r="BS783" i="93"/>
  <c r="GP783" i="93"/>
  <c r="HG784" i="93"/>
  <c r="GE784" i="93"/>
  <c r="FC784" i="93"/>
  <c r="AY784" i="93"/>
  <c r="GA784" i="93"/>
  <c r="HS784" i="93"/>
  <c r="HW787" i="93"/>
  <c r="HR787" i="93"/>
  <c r="GM787" i="93"/>
  <c r="FJ787" i="93"/>
  <c r="HB787" i="93"/>
  <c r="FZ787" i="93"/>
  <c r="HF787" i="93"/>
  <c r="FS788" i="93"/>
  <c r="DF791" i="93"/>
  <c r="AI774" i="93"/>
  <c r="JA775" i="93"/>
  <c r="JN777" i="93"/>
  <c r="IG781" i="93"/>
  <c r="ID781" i="93"/>
  <c r="BZ781" i="93"/>
  <c r="DF781" i="93"/>
  <c r="EP781" i="93"/>
  <c r="IH781" i="93"/>
  <c r="IG783" i="93"/>
  <c r="IM783" i="93"/>
  <c r="CI783" i="93"/>
  <c r="W783" i="93"/>
  <c r="IE783" i="93"/>
  <c r="EM783" i="93"/>
  <c r="DV783" i="93"/>
  <c r="CA783" i="93"/>
  <c r="AM783" i="93"/>
  <c r="CP783" i="93"/>
  <c r="EE783" i="93"/>
  <c r="IT783" i="93"/>
  <c r="BT785" i="93"/>
  <c r="CV785" i="93"/>
  <c r="FX785" i="93"/>
  <c r="JA786" i="93"/>
  <c r="HV786" i="93"/>
  <c r="HM786" i="93"/>
  <c r="HA786" i="93"/>
  <c r="GP786" i="93"/>
  <c r="GG786" i="93"/>
  <c r="FU786" i="93"/>
  <c r="FJ786" i="93"/>
  <c r="FA786" i="93"/>
  <c r="EC786" i="93"/>
  <c r="DA786" i="93"/>
  <c r="CP786" i="93"/>
  <c r="CG786" i="93"/>
  <c r="BU786" i="93"/>
  <c r="BJ786" i="93"/>
  <c r="BA786" i="93"/>
  <c r="AO786" i="93"/>
  <c r="AD786" i="93"/>
  <c r="JM786" i="93"/>
  <c r="IK786" i="93"/>
  <c r="HU786" i="93"/>
  <c r="HF786" i="93"/>
  <c r="GS786" i="93"/>
  <c r="GC786" i="93"/>
  <c r="FQ786" i="93"/>
  <c r="FB786" i="93"/>
  <c r="DU786" i="93"/>
  <c r="CW786" i="93"/>
  <c r="CH786" i="93"/>
  <c r="BR786" i="93"/>
  <c r="BE786" i="93"/>
  <c r="AS786" i="93"/>
  <c r="AC786" i="93"/>
  <c r="JI786" i="93"/>
  <c r="ID786" i="93"/>
  <c r="HQ786" i="93"/>
  <c r="HE786" i="93"/>
  <c r="GO786" i="93"/>
  <c r="FZ786" i="93"/>
  <c r="FM786" i="93"/>
  <c r="EW786" i="93"/>
  <c r="DM786" i="93"/>
  <c r="CS786" i="93"/>
  <c r="CC786" i="93"/>
  <c r="BQ786" i="93"/>
  <c r="BB786" i="93"/>
  <c r="AL786" i="93"/>
  <c r="Y786" i="93"/>
  <c r="AW786" i="93"/>
  <c r="BZ786" i="93"/>
  <c r="DE786" i="93"/>
  <c r="FI786" i="93"/>
  <c r="GK786" i="93"/>
  <c r="HN786" i="93"/>
  <c r="IS786" i="93"/>
  <c r="IR789" i="93"/>
  <c r="AB789" i="93"/>
  <c r="JH794" i="93"/>
  <c r="FO797" i="93"/>
  <c r="AZ800" i="93"/>
  <c r="GE803" i="93"/>
  <c r="Q1859" i="93"/>
  <c r="L1859" i="93"/>
  <c r="N1901" i="93"/>
  <c r="L1901" i="93"/>
  <c r="Q1901" i="93"/>
  <c r="IH789" i="93"/>
  <c r="CD789" i="93"/>
  <c r="AN789" i="93"/>
  <c r="X789" i="93"/>
  <c r="IN789" i="93"/>
  <c r="EV789" i="93"/>
  <c r="EA789" i="93"/>
  <c r="DJ789" i="93"/>
  <c r="CP789" i="93"/>
  <c r="AM789" i="93"/>
  <c r="CE789" i="93"/>
  <c r="DT789" i="93"/>
  <c r="ID789" i="93"/>
  <c r="AC796" i="93"/>
  <c r="CO796" i="93"/>
  <c r="DQ796" i="93"/>
  <c r="IS796" i="93"/>
  <c r="JK797" i="93"/>
  <c r="JN797" i="93"/>
  <c r="HW797" i="93"/>
  <c r="HR797" i="93"/>
  <c r="HC797" i="93"/>
  <c r="GM797" i="93"/>
  <c r="FZ797" i="93"/>
  <c r="FN797" i="93"/>
  <c r="IA797" i="93"/>
  <c r="HJ797" i="93"/>
  <c r="GT797" i="93"/>
  <c r="FW797" i="93"/>
  <c r="FF797" i="93"/>
  <c r="HF797" i="93"/>
  <c r="GH797" i="93"/>
  <c r="FG797" i="93"/>
  <c r="HZ797" i="93"/>
  <c r="GX797" i="93"/>
  <c r="GD797" i="93"/>
  <c r="FB797" i="93"/>
  <c r="GL797" i="93"/>
  <c r="AE798" i="93"/>
  <c r="CF800" i="93"/>
  <c r="AO800" i="93"/>
  <c r="EV800" i="93"/>
  <c r="AG800" i="93"/>
  <c r="IB801" i="93"/>
  <c r="HL801" i="93"/>
  <c r="AR801" i="93"/>
  <c r="FP801" i="93"/>
  <c r="FZ803" i="93"/>
  <c r="IA803" i="93"/>
  <c r="HG803" i="93"/>
  <c r="GI803" i="93"/>
  <c r="FO803" i="93"/>
  <c r="GY803" i="93"/>
  <c r="GA803" i="93"/>
  <c r="GU803" i="93"/>
  <c r="FK803" i="93"/>
  <c r="HW803" i="93"/>
  <c r="GQ803" i="93"/>
  <c r="FC803" i="93"/>
  <c r="AU803" i="93"/>
  <c r="HO803" i="93"/>
  <c r="IX777" i="93"/>
  <c r="JB781" i="93"/>
  <c r="IL781" i="93"/>
  <c r="HF781" i="93"/>
  <c r="EY781" i="93"/>
  <c r="EL781" i="93"/>
  <c r="AL781" i="93"/>
  <c r="BB781" i="93"/>
  <c r="BR781" i="93"/>
  <c r="CH781" i="93"/>
  <c r="CX781" i="93"/>
  <c r="DN781" i="93"/>
  <c r="ED781" i="93"/>
  <c r="EX781" i="93"/>
  <c r="HV781" i="93"/>
  <c r="IT781" i="93"/>
  <c r="AO782" i="93"/>
  <c r="CE782" i="93"/>
  <c r="ID782" i="93"/>
  <c r="IQ784" i="93"/>
  <c r="HW784" i="93"/>
  <c r="HL784" i="93"/>
  <c r="HC784" i="93"/>
  <c r="GQ784" i="93"/>
  <c r="GF784" i="93"/>
  <c r="FW784" i="93"/>
  <c r="FK784" i="93"/>
  <c r="EZ784" i="93"/>
  <c r="EA784" i="93"/>
  <c r="CU784" i="93"/>
  <c r="BW784" i="93"/>
  <c r="AQ784" i="93"/>
  <c r="HX784" i="93"/>
  <c r="BG784" i="93"/>
  <c r="CM784" i="93"/>
  <c r="EI784" i="93"/>
  <c r="FG784" i="93"/>
  <c r="FS784" i="93"/>
  <c r="GI784" i="93"/>
  <c r="GV784" i="93"/>
  <c r="HK784" i="93"/>
  <c r="IA784" i="93"/>
  <c r="AK785" i="93"/>
  <c r="EB785" i="93"/>
  <c r="JE786" i="93"/>
  <c r="JF787" i="93"/>
  <c r="HZ787" i="93"/>
  <c r="HN787" i="93"/>
  <c r="HC787" i="93"/>
  <c r="GT787" i="93"/>
  <c r="GH787" i="93"/>
  <c r="FW787" i="93"/>
  <c r="FN787" i="93"/>
  <c r="FB787" i="93"/>
  <c r="EH787" i="93"/>
  <c r="CL787" i="93"/>
  <c r="AX787" i="93"/>
  <c r="IB787" i="93"/>
  <c r="BV787" i="93"/>
  <c r="DR787" i="93"/>
  <c r="FF787" i="93"/>
  <c r="FR787" i="93"/>
  <c r="GE787" i="93"/>
  <c r="GU787" i="93"/>
  <c r="HJ787" i="93"/>
  <c r="HV787" i="93"/>
  <c r="JN787" i="93"/>
  <c r="CV788" i="93"/>
  <c r="IX792" i="93"/>
  <c r="IP792" i="93"/>
  <c r="GD792" i="93"/>
  <c r="DZ792" i="93"/>
  <c r="CL792" i="93"/>
  <c r="AX792" i="93"/>
  <c r="IH792" i="93"/>
  <c r="EX792" i="93"/>
  <c r="CT792" i="93"/>
  <c r="AH792" i="93"/>
  <c r="CD792" i="93"/>
  <c r="FV792" i="93"/>
  <c r="DW793" i="93"/>
  <c r="HT794" i="93"/>
  <c r="GQ794" i="93"/>
  <c r="FX794" i="93"/>
  <c r="FC794" i="93"/>
  <c r="FH794" i="93"/>
  <c r="GI794" i="93"/>
  <c r="HG794" i="93"/>
  <c r="JF797" i="93"/>
  <c r="FD799" i="93"/>
  <c r="JH801" i="93"/>
  <c r="P924" i="93"/>
  <c r="Q1828" i="93"/>
  <c r="L49" i="93"/>
  <c r="L393" i="93"/>
  <c r="U451" i="93"/>
  <c r="A452" i="93"/>
  <c r="G459" i="93"/>
  <c r="G463" i="93"/>
  <c r="S463" i="93"/>
  <c r="J519" i="93"/>
  <c r="P519" i="93"/>
  <c r="G519" i="93"/>
  <c r="S519" i="93"/>
  <c r="U526" i="93"/>
  <c r="G541" i="93"/>
  <c r="G547" i="93"/>
  <c r="A561" i="93"/>
  <c r="J566" i="93"/>
  <c r="P566" i="93"/>
  <c r="J582" i="93"/>
  <c r="J586" i="93" s="1"/>
  <c r="IY768" i="93"/>
  <c r="JQ769" i="93"/>
  <c r="HX769" i="93"/>
  <c r="BP769" i="93"/>
  <c r="CL769" i="93"/>
  <c r="DL769" i="93"/>
  <c r="EX769" i="93"/>
  <c r="FN769" i="93"/>
  <c r="GI769" i="93"/>
  <c r="HD769" i="93"/>
  <c r="HZ769" i="93"/>
  <c r="JF769" i="93"/>
  <c r="FB772" i="93"/>
  <c r="FM772" i="93"/>
  <c r="FW772" i="93"/>
  <c r="GH772" i="93"/>
  <c r="GT772" i="93"/>
  <c r="HE772" i="93"/>
  <c r="HO772" i="93"/>
  <c r="AN774" i="93"/>
  <c r="BI774" i="93"/>
  <c r="BY774" i="93"/>
  <c r="CU774" i="93"/>
  <c r="DK774" i="93"/>
  <c r="EF774" i="93"/>
  <c r="IB777" i="93"/>
  <c r="FG777" i="93"/>
  <c r="FW777" i="93"/>
  <c r="GM777" i="93"/>
  <c r="HC777" i="93"/>
  <c r="HS777" i="93"/>
  <c r="Z781" i="93"/>
  <c r="AP781" i="93"/>
  <c r="BF781" i="93"/>
  <c r="BV781" i="93"/>
  <c r="CL781" i="93"/>
  <c r="DB781" i="93"/>
  <c r="DR781" i="93"/>
  <c r="EH781" i="93"/>
  <c r="FJ781" i="93"/>
  <c r="IX781" i="93"/>
  <c r="IO782" i="93"/>
  <c r="A783" i="93"/>
  <c r="DF783" i="93"/>
  <c r="DW783" i="93"/>
  <c r="AA784" i="93"/>
  <c r="BO784" i="93"/>
  <c r="DC784" i="93"/>
  <c r="EQ784" i="93"/>
  <c r="FH784" i="93"/>
  <c r="FX784" i="93"/>
  <c r="GM784" i="93"/>
  <c r="GY784" i="93"/>
  <c r="HO784" i="93"/>
  <c r="IB784" i="93"/>
  <c r="IR785" i="93"/>
  <c r="GV785" i="93"/>
  <c r="EJ785" i="93"/>
  <c r="DD785" i="93"/>
  <c r="CN785" i="93"/>
  <c r="BX785" i="93"/>
  <c r="AR785" i="93"/>
  <c r="AB785" i="93"/>
  <c r="HL785" i="93"/>
  <c r="AZ785" i="93"/>
  <c r="CF785" i="93"/>
  <c r="CZ785" i="93"/>
  <c r="ER785" i="93"/>
  <c r="IB785" i="93"/>
  <c r="JP785" i="93"/>
  <c r="A787" i="93"/>
  <c r="Z787" i="93"/>
  <c r="CD787" i="93"/>
  <c r="EP787" i="93"/>
  <c r="FG787" i="93"/>
  <c r="FV787" i="93"/>
  <c r="GL787" i="93"/>
  <c r="GX787" i="93"/>
  <c r="HK787" i="93"/>
  <c r="IA787" i="93"/>
  <c r="A789" i="93"/>
  <c r="DK789" i="93"/>
  <c r="EF789" i="93"/>
  <c r="JA791" i="93"/>
  <c r="DR791" i="93"/>
  <c r="EO791" i="93"/>
  <c r="IZ791" i="93"/>
  <c r="Z792" i="93"/>
  <c r="DJ792" i="93"/>
  <c r="HB792" i="93"/>
  <c r="IU793" i="93"/>
  <c r="GQ793" i="93"/>
  <c r="EU793" i="93"/>
  <c r="DO793" i="93"/>
  <c r="CI793" i="93"/>
  <c r="BC793" i="93"/>
  <c r="W793" i="93"/>
  <c r="EX793" i="93"/>
  <c r="DG793" i="93"/>
  <c r="BS793" i="93"/>
  <c r="AE793" i="93"/>
  <c r="CA793" i="93"/>
  <c r="EE793" i="93"/>
  <c r="HW793" i="93"/>
  <c r="FK794" i="93"/>
  <c r="GN794" i="93"/>
  <c r="HW794" i="93"/>
  <c r="CB799" i="93"/>
  <c r="GB800" i="93"/>
  <c r="DS803" i="93"/>
  <c r="CV804" i="93"/>
  <c r="AR804" i="93"/>
  <c r="BH804" i="93"/>
  <c r="AT782" i="93"/>
  <c r="BZ782" i="93"/>
  <c r="DA782" i="93"/>
  <c r="EA782" i="93"/>
  <c r="EX782" i="93"/>
  <c r="FI782" i="93"/>
  <c r="FS782" i="93"/>
  <c r="GD782" i="93"/>
  <c r="GO782" i="93"/>
  <c r="GY782" i="93"/>
  <c r="HJ782" i="93"/>
  <c r="HU782" i="93"/>
  <c r="JQ783" i="93"/>
  <c r="AL783" i="93"/>
  <c r="BB783" i="93"/>
  <c r="BR783" i="93"/>
  <c r="CH783" i="93"/>
  <c r="CX783" i="93"/>
  <c r="DN783" i="93"/>
  <c r="ED783" i="93"/>
  <c r="ET783" i="93"/>
  <c r="FB783" i="93"/>
  <c r="GH783" i="93"/>
  <c r="HN783" i="93"/>
  <c r="IL783" i="93"/>
  <c r="JB783" i="93"/>
  <c r="CZ784" i="93"/>
  <c r="IV785" i="93"/>
  <c r="IF786" i="93"/>
  <c r="IG786" i="93"/>
  <c r="IY789" i="93"/>
  <c r="GX789" i="93"/>
  <c r="AI789" i="93"/>
  <c r="AX789" i="93"/>
  <c r="BJ789" i="93"/>
  <c r="BZ789" i="93"/>
  <c r="CN789" i="93"/>
  <c r="CZ789" i="93"/>
  <c r="DP789" i="93"/>
  <c r="EE789" i="93"/>
  <c r="EQ789" i="93"/>
  <c r="IT789" i="93"/>
  <c r="IW791" i="93"/>
  <c r="GS791" i="93"/>
  <c r="FE791" i="93"/>
  <c r="EG791" i="93"/>
  <c r="DV791" i="93"/>
  <c r="DL791" i="93"/>
  <c r="DA791" i="93"/>
  <c r="CK791" i="93"/>
  <c r="BZ791" i="93"/>
  <c r="BL791" i="93"/>
  <c r="AK791" i="93"/>
  <c r="Z791" i="93"/>
  <c r="AJ791" i="93"/>
  <c r="BU791" i="93"/>
  <c r="CF791" i="93"/>
  <c r="CR791" i="93"/>
  <c r="DM791" i="93"/>
  <c r="EB791" i="93"/>
  <c r="ER791" i="93"/>
  <c r="HA791" i="93"/>
  <c r="IO791" i="93"/>
  <c r="JM791" i="93"/>
  <c r="FF792" i="93"/>
  <c r="BI795" i="93"/>
  <c r="AS795" i="93"/>
  <c r="FH795" i="93"/>
  <c r="HM796" i="93"/>
  <c r="GC796" i="93"/>
  <c r="EW796" i="93"/>
  <c r="CK796" i="93"/>
  <c r="BE796" i="93"/>
  <c r="Y796" i="93"/>
  <c r="GS796" i="93"/>
  <c r="FA796" i="93"/>
  <c r="BY796" i="93"/>
  <c r="AO796" i="93"/>
  <c r="BU796" i="93"/>
  <c r="FM796" i="93"/>
  <c r="HU796" i="93"/>
  <c r="JD799" i="93"/>
  <c r="HH799" i="93"/>
  <c r="GB799" i="93"/>
  <c r="EV799" i="93"/>
  <c r="DH799" i="93"/>
  <c r="BT799" i="93"/>
  <c r="X799" i="93"/>
  <c r="HX799" i="93"/>
  <c r="GJ799" i="93"/>
  <c r="EN799" i="93"/>
  <c r="CJ799" i="93"/>
  <c r="AN799" i="93"/>
  <c r="CZ799" i="93"/>
  <c r="FL799" i="93"/>
  <c r="HP799" i="93"/>
  <c r="J885" i="93"/>
  <c r="N885" i="93"/>
  <c r="H894" i="93"/>
  <c r="L894" i="93"/>
  <c r="F1569" i="93"/>
  <c r="P1564" i="93" s="1"/>
  <c r="J1569" i="93"/>
  <c r="P1565" i="93" s="1"/>
  <c r="O1569" i="93"/>
  <c r="P1566" i="93" s="1"/>
  <c r="M1723" i="93"/>
  <c r="P1723" i="93" s="1"/>
  <c r="JN794" i="93"/>
  <c r="JK794" i="93"/>
  <c r="IB794" i="93"/>
  <c r="HL794" i="93"/>
  <c r="IA794" i="93"/>
  <c r="BX794" i="93"/>
  <c r="EZ794" i="93"/>
  <c r="FP794" i="93"/>
  <c r="GF794" i="93"/>
  <c r="GV794" i="93"/>
  <c r="HO794" i="93"/>
  <c r="JC794" i="93"/>
  <c r="IZ795" i="93"/>
  <c r="HH795" i="93"/>
  <c r="GB795" i="93"/>
  <c r="ER795" i="93"/>
  <c r="CF795" i="93"/>
  <c r="AC795" i="93"/>
  <c r="CV795" i="93"/>
  <c r="FL795" i="93"/>
  <c r="HD795" i="93"/>
  <c r="JP795" i="93"/>
  <c r="GR800" i="93"/>
  <c r="DA800" i="93"/>
  <c r="BK800" i="93"/>
  <c r="Y800" i="93"/>
  <c r="BU800" i="93"/>
  <c r="FL800" i="93"/>
  <c r="DX804" i="93"/>
  <c r="BX804" i="93"/>
  <c r="AB804" i="93"/>
  <c r="CB804" i="93"/>
  <c r="FD804" i="93"/>
  <c r="O838" i="93"/>
  <c r="G898" i="93"/>
  <c r="K898" i="93"/>
  <c r="O898" i="93"/>
  <c r="I903" i="93"/>
  <c r="M903" i="93"/>
  <c r="J907" i="93"/>
  <c r="N907" i="93"/>
  <c r="O1477" i="93"/>
  <c r="M1717" i="93"/>
  <c r="O1717" i="93" s="1"/>
  <c r="Q1873" i="93"/>
  <c r="M1935" i="93"/>
  <c r="EY797" i="93"/>
  <c r="FJ797" i="93"/>
  <c r="FV797" i="93"/>
  <c r="GE797" i="93"/>
  <c r="GP797" i="93"/>
  <c r="HB797" i="93"/>
  <c r="HK797" i="93"/>
  <c r="HV797" i="93"/>
  <c r="JD800" i="93"/>
  <c r="BX801" i="93"/>
  <c r="EJ801" i="93"/>
  <c r="GV801" i="93"/>
  <c r="JN803" i="93"/>
  <c r="HZ803" i="93"/>
  <c r="CA803" i="93"/>
  <c r="EM803" i="93"/>
  <c r="FG803" i="93"/>
  <c r="FW803" i="93"/>
  <c r="GM803" i="93"/>
  <c r="HC803" i="93"/>
  <c r="HS803" i="93"/>
  <c r="JC803" i="93"/>
  <c r="I885" i="93"/>
  <c r="M885" i="93"/>
  <c r="H889" i="93"/>
  <c r="L889" i="93"/>
  <c r="P889" i="93"/>
  <c r="G894" i="93"/>
  <c r="K894" i="93"/>
  <c r="O894" i="93"/>
  <c r="H898" i="93"/>
  <c r="L898" i="93"/>
  <c r="P898" i="93"/>
  <c r="G907" i="93"/>
  <c r="H912" i="93"/>
  <c r="O1583" i="93"/>
  <c r="P1567" i="93" s="1"/>
  <c r="Q1766" i="93"/>
  <c r="S132" i="78"/>
  <c r="J554" i="93"/>
  <c r="F115" i="78"/>
  <c r="F116" i="78"/>
  <c r="J132" i="78"/>
  <c r="J149" i="78" s="1"/>
  <c r="F113" i="78"/>
  <c r="I770" i="93"/>
  <c r="K770" i="93" s="1"/>
  <c r="L770" i="93" s="1"/>
  <c r="K13" i="75"/>
  <c r="L13" i="75" s="1"/>
  <c r="F1151" i="93"/>
  <c r="F57" i="73"/>
  <c r="K1150" i="93"/>
  <c r="I772" i="93"/>
  <c r="K772" i="93" s="1"/>
  <c r="L772" i="93" s="1"/>
  <c r="K15" i="75"/>
  <c r="L15" i="75" s="1"/>
  <c r="I767" i="93"/>
  <c r="K10" i="75"/>
  <c r="L10" i="75" s="1"/>
  <c r="B44" i="78"/>
  <c r="K40" i="66"/>
  <c r="E114" i="74"/>
  <c r="J86" i="74"/>
  <c r="F86" i="74"/>
  <c r="B86" i="74"/>
  <c r="I56" i="74"/>
  <c r="E56" i="74"/>
  <c r="H26" i="74"/>
  <c r="D26" i="74"/>
  <c r="N403" i="93"/>
  <c r="D114" i="74"/>
  <c r="I86" i="74"/>
  <c r="E86" i="74"/>
  <c r="H56" i="74"/>
  <c r="D56" i="74"/>
  <c r="K26" i="74"/>
  <c r="G26" i="74"/>
  <c r="C26" i="74"/>
  <c r="B114" i="74"/>
  <c r="H86" i="74"/>
  <c r="F56" i="74"/>
  <c r="E26" i="74"/>
  <c r="F114" i="74"/>
  <c r="G86" i="74"/>
  <c r="K56" i="74"/>
  <c r="C56" i="74"/>
  <c r="J26" i="74"/>
  <c r="B26" i="74"/>
  <c r="C114" i="74"/>
  <c r="D86" i="74"/>
  <c r="J56" i="74"/>
  <c r="B56" i="74"/>
  <c r="I26" i="74"/>
  <c r="K86" i="74"/>
  <c r="C86" i="74"/>
  <c r="G56" i="74"/>
  <c r="F26" i="74"/>
  <c r="A1" i="77"/>
  <c r="A1" i="76"/>
  <c r="A1" i="75"/>
  <c r="U1" i="75" s="1"/>
  <c r="W48" i="75"/>
  <c r="J56" i="75" s="1"/>
  <c r="AA48" i="75"/>
  <c r="N56" i="75" s="1"/>
  <c r="AE48" i="75"/>
  <c r="M57" i="75" s="1"/>
  <c r="M58" i="75" s="1"/>
  <c r="AI48" i="75"/>
  <c r="AM48" i="75"/>
  <c r="K59" i="75" s="1"/>
  <c r="AQ48" i="75"/>
  <c r="AU48" i="75"/>
  <c r="AY48" i="75"/>
  <c r="M65" i="75" s="1"/>
  <c r="BC48" i="75"/>
  <c r="L64" i="75" s="1"/>
  <c r="L66" i="75" s="1"/>
  <c r="BG48" i="75"/>
  <c r="BK48" i="75"/>
  <c r="J69" i="75" s="1"/>
  <c r="BO48" i="75"/>
  <c r="N69" i="75" s="1"/>
  <c r="N70" i="75" s="1"/>
  <c r="BS48" i="75"/>
  <c r="M68" i="75" s="1"/>
  <c r="M70" i="75" s="1"/>
  <c r="BW48" i="75"/>
  <c r="L61" i="75" s="1"/>
  <c r="CA48" i="75"/>
  <c r="K113" i="75" s="1"/>
  <c r="K115" i="75" s="1"/>
  <c r="CE48" i="75"/>
  <c r="J114" i="75" s="1"/>
  <c r="CI48" i="75"/>
  <c r="N114" i="75" s="1"/>
  <c r="N115" i="75" s="1"/>
  <c r="N117" i="75" s="1"/>
  <c r="N119" i="75" s="1"/>
  <c r="CM48" i="75"/>
  <c r="CQ48" i="75"/>
  <c r="L116" i="75" s="1"/>
  <c r="CU48" i="75"/>
  <c r="CY48" i="75"/>
  <c r="J118" i="75" s="1"/>
  <c r="DC48" i="75"/>
  <c r="N118" i="75" s="1"/>
  <c r="DG48" i="75"/>
  <c r="M72" i="75" s="1"/>
  <c r="DK48" i="75"/>
  <c r="L73" i="75" s="1"/>
  <c r="L74" i="75" s="1"/>
  <c r="DO48" i="75"/>
  <c r="DS48" i="75"/>
  <c r="J75" i="75" s="1"/>
  <c r="DW48" i="75"/>
  <c r="N75" i="75" s="1"/>
  <c r="EA48" i="75"/>
  <c r="M76" i="75" s="1"/>
  <c r="M77" i="75" s="1"/>
  <c r="EE48" i="75"/>
  <c r="EI48" i="75"/>
  <c r="K78" i="75" s="1"/>
  <c r="EM48" i="75"/>
  <c r="J79" i="75" s="1"/>
  <c r="J80" i="75" s="1"/>
  <c r="EQ48" i="75"/>
  <c r="N79" i="75" s="1"/>
  <c r="N80"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M110" i="75" s="1"/>
  <c r="HG48" i="75"/>
  <c r="L90" i="75" s="1"/>
  <c r="HK48" i="75"/>
  <c r="K91" i="75" s="1"/>
  <c r="K108" i="75" s="1"/>
  <c r="HO48" i="75"/>
  <c r="J92" i="75" s="1"/>
  <c r="HS48" i="75"/>
  <c r="N92" i="75" s="1"/>
  <c r="N109" i="75" s="1"/>
  <c r="HW48" i="75"/>
  <c r="M93" i="75" s="1"/>
  <c r="IA48" i="75"/>
  <c r="L94" i="75" s="1"/>
  <c r="IE48" i="75"/>
  <c r="II48" i="75"/>
  <c r="IM48" i="75"/>
  <c r="IQ48" i="75"/>
  <c r="IU48" i="75"/>
  <c r="IY48" i="75"/>
  <c r="JC48" i="75"/>
  <c r="JG48" i="75"/>
  <c r="JK48" i="75"/>
  <c r="JO48" i="75"/>
  <c r="I11" i="75"/>
  <c r="K14" i="75"/>
  <c r="L14" i="75" s="1"/>
  <c r="K18" i="75"/>
  <c r="L18" i="75" s="1"/>
  <c r="K22" i="75"/>
  <c r="L22" i="75" s="1"/>
  <c r="K26" i="75"/>
  <c r="L26" i="75" s="1"/>
  <c r="K30" i="75"/>
  <c r="L30" i="75" s="1"/>
  <c r="K34" i="75"/>
  <c r="L34" i="75" s="1"/>
  <c r="K38" i="75"/>
  <c r="L38" i="75" s="1"/>
  <c r="K42" i="75"/>
  <c r="L42" i="75" s="1"/>
  <c r="N402" i="93"/>
  <c r="C113" i="74"/>
  <c r="I85" i="74"/>
  <c r="E85" i="74"/>
  <c r="H55" i="74"/>
  <c r="D55" i="74"/>
  <c r="K25" i="74"/>
  <c r="G25" i="74"/>
  <c r="C25" i="74"/>
  <c r="F113" i="74"/>
  <c r="B113" i="74"/>
  <c r="H85" i="74"/>
  <c r="D85" i="74"/>
  <c r="K55" i="74"/>
  <c r="G55" i="74"/>
  <c r="C55" i="74"/>
  <c r="J25" i="74"/>
  <c r="F25" i="74"/>
  <c r="B25" i="74"/>
  <c r="E113" i="74"/>
  <c r="K85" i="74"/>
  <c r="C85" i="74"/>
  <c r="J55" i="74"/>
  <c r="B55" i="74"/>
  <c r="H25" i="74"/>
  <c r="J85" i="74"/>
  <c r="B85" i="74"/>
  <c r="I55" i="74"/>
  <c r="E25" i="74"/>
  <c r="G85" i="74"/>
  <c r="F55" i="74"/>
  <c r="D25" i="74"/>
  <c r="D113" i="74"/>
  <c r="F85" i="74"/>
  <c r="E55" i="74"/>
  <c r="I25" i="74"/>
  <c r="G132" i="78"/>
  <c r="J106" i="75"/>
  <c r="K1152" i="93"/>
  <c r="K58" i="73"/>
  <c r="A3" i="79"/>
  <c r="N40" i="66"/>
  <c r="N51" i="93" s="1"/>
  <c r="A1" i="68"/>
  <c r="S1" i="68" s="1"/>
  <c r="C111" i="74"/>
  <c r="K83" i="74"/>
  <c r="G83" i="74"/>
  <c r="C83" i="74"/>
  <c r="J53" i="74"/>
  <c r="F53" i="74"/>
  <c r="B53" i="74"/>
  <c r="I23" i="74"/>
  <c r="E23" i="74"/>
  <c r="F111" i="74"/>
  <c r="B111" i="74"/>
  <c r="J83" i="74"/>
  <c r="F83" i="74"/>
  <c r="B83" i="74"/>
  <c r="I53" i="74"/>
  <c r="E53" i="74"/>
  <c r="H23" i="74"/>
  <c r="D23" i="74"/>
  <c r="N400" i="93"/>
  <c r="D111" i="74"/>
  <c r="I83" i="74"/>
  <c r="H53" i="74"/>
  <c r="F23" i="74"/>
  <c r="H83" i="74"/>
  <c r="G53" i="74"/>
  <c r="K23" i="74"/>
  <c r="C23" i="74"/>
  <c r="E111" i="74"/>
  <c r="E83" i="74"/>
  <c r="D53" i="74"/>
  <c r="J23" i="74"/>
  <c r="B23" i="74"/>
  <c r="D83" i="74"/>
  <c r="K53" i="74"/>
  <c r="C53" i="74"/>
  <c r="G23" i="74"/>
  <c r="A1" i="78"/>
  <c r="W1" i="78" s="1"/>
  <c r="E36" i="78"/>
  <c r="F37" i="78"/>
  <c r="F117" i="78"/>
  <c r="I12" i="75"/>
  <c r="K19" i="75"/>
  <c r="L19" i="75" s="1"/>
  <c r="K23" i="75"/>
  <c r="L23" i="75" s="1"/>
  <c r="K27" i="75"/>
  <c r="L27" i="75" s="1"/>
  <c r="K77" i="75"/>
  <c r="M107" i="75"/>
  <c r="A2011" i="93"/>
  <c r="T1727" i="93"/>
  <c r="T1729" i="93"/>
  <c r="F1910" i="93"/>
  <c r="I712" i="93"/>
  <c r="C43" i="90"/>
  <c r="F356" i="72"/>
  <c r="T173" i="72"/>
  <c r="A1" i="73"/>
  <c r="A364" i="93"/>
  <c r="A3" i="93"/>
  <c r="P42" i="73"/>
  <c r="A1" i="74"/>
  <c r="N1" i="74" s="1"/>
  <c r="J50" i="93"/>
  <c r="A3" i="71"/>
  <c r="H8" i="84"/>
  <c r="F14" i="85" s="1"/>
  <c r="A3" i="83" s="1"/>
  <c r="A623" i="93"/>
  <c r="A1" i="72"/>
  <c r="T175" i="72"/>
  <c r="O40" i="66"/>
  <c r="L31" i="68"/>
  <c r="E112" i="74"/>
  <c r="H84" i="74"/>
  <c r="D84" i="74"/>
  <c r="K54" i="74"/>
  <c r="G54" i="74"/>
  <c r="C54" i="74"/>
  <c r="J24" i="74"/>
  <c r="F24" i="74"/>
  <c r="B24" i="74"/>
  <c r="N401" i="93"/>
  <c r="D112" i="74"/>
  <c r="K84" i="74"/>
  <c r="G84" i="74"/>
  <c r="C84" i="74"/>
  <c r="J54" i="74"/>
  <c r="F54" i="74"/>
  <c r="B54" i="74"/>
  <c r="I24" i="74"/>
  <c r="E24" i="74"/>
  <c r="F112" i="74"/>
  <c r="C112" i="74"/>
  <c r="F84" i="74"/>
  <c r="E54" i="74"/>
  <c r="K24" i="74"/>
  <c r="C24" i="74"/>
  <c r="B112" i="74"/>
  <c r="E84" i="74"/>
  <c r="D54" i="74"/>
  <c r="H24" i="74"/>
  <c r="J84" i="74"/>
  <c r="B84" i="74"/>
  <c r="I54" i="74"/>
  <c r="G24" i="74"/>
  <c r="I84" i="74"/>
  <c r="H54" i="74"/>
  <c r="D24" i="74"/>
  <c r="E35" i="78"/>
  <c r="F36" i="78"/>
  <c r="J164" i="78"/>
  <c r="A48" i="75"/>
  <c r="A5" i="75" s="1"/>
  <c r="Y48" i="75"/>
  <c r="L56" i="75" s="1"/>
  <c r="AC48" i="75"/>
  <c r="K57" i="75" s="1"/>
  <c r="AG48" i="75"/>
  <c r="AK48" i="75"/>
  <c r="AO48" i="75"/>
  <c r="M59" i="75" s="1"/>
  <c r="O59" i="75" s="1"/>
  <c r="AS48" i="75"/>
  <c r="AW48" i="75"/>
  <c r="K65" i="75" s="1"/>
  <c r="K66" i="75" s="1"/>
  <c r="BA48" i="75"/>
  <c r="J64" i="75" s="1"/>
  <c r="BE48" i="75"/>
  <c r="N64" i="75" s="1"/>
  <c r="N66" i="75" s="1"/>
  <c r="BI48" i="75"/>
  <c r="BM48" i="75"/>
  <c r="L69" i="75" s="1"/>
  <c r="L70" i="75" s="1"/>
  <c r="BQ48" i="75"/>
  <c r="K68" i="75" s="1"/>
  <c r="BU48" i="75"/>
  <c r="J61" i="75" s="1"/>
  <c r="BY48" i="75"/>
  <c r="N61" i="75" s="1"/>
  <c r="CC48" i="75"/>
  <c r="M113" i="75" s="1"/>
  <c r="M115" i="75" s="1"/>
  <c r="CG48" i="75"/>
  <c r="L114" i="75" s="1"/>
  <c r="CK48" i="75"/>
  <c r="CO48" i="75"/>
  <c r="J116" i="75" s="1"/>
  <c r="CS48" i="75"/>
  <c r="N116" i="75" s="1"/>
  <c r="CW48" i="75"/>
  <c r="DA48" i="75"/>
  <c r="L118" i="75" s="1"/>
  <c r="DE48" i="75"/>
  <c r="K72" i="75" s="1"/>
  <c r="DI48" i="75"/>
  <c r="J73" i="75" s="1"/>
  <c r="DM48" i="75"/>
  <c r="N73" i="75" s="1"/>
  <c r="DQ48" i="75"/>
  <c r="DU48" i="75"/>
  <c r="L75" i="75" s="1"/>
  <c r="DY48" i="75"/>
  <c r="K76" i="75" s="1"/>
  <c r="EC48" i="75"/>
  <c r="EG48" i="75"/>
  <c r="EK48" i="75"/>
  <c r="M78" i="75" s="1"/>
  <c r="EO48" i="75"/>
  <c r="L79" i="75" s="1"/>
  <c r="L80" i="75" s="1"/>
  <c r="ES48" i="75"/>
  <c r="EW48" i="75"/>
  <c r="FA48" i="75"/>
  <c r="FE48" i="75"/>
  <c r="M95" i="75" s="1"/>
  <c r="FI48" i="75"/>
  <c r="L96" i="75" s="1"/>
  <c r="FM48" i="75"/>
  <c r="K101" i="75" s="1"/>
  <c r="FQ48" i="75"/>
  <c r="J102" i="75" s="1"/>
  <c r="FU48" i="75"/>
  <c r="N102" i="75" s="1"/>
  <c r="FY48" i="75"/>
  <c r="M99" i="75" s="1"/>
  <c r="O99" i="75" s="1"/>
  <c r="GC48" i="75"/>
  <c r="L100" i="75" s="1"/>
  <c r="GG48" i="75"/>
  <c r="K97" i="75" s="1"/>
  <c r="GK48" i="75"/>
  <c r="J98" i="75" s="1"/>
  <c r="GO48" i="75"/>
  <c r="N98" i="75" s="1"/>
  <c r="GS48" i="75"/>
  <c r="M87" i="75" s="1"/>
  <c r="GW48" i="75"/>
  <c r="L88" i="75" s="1"/>
  <c r="HA48" i="75"/>
  <c r="K89" i="75" s="1"/>
  <c r="HE48" i="75"/>
  <c r="J90" i="75" s="1"/>
  <c r="HI48" i="75"/>
  <c r="N90" i="75" s="1"/>
  <c r="HM48" i="75"/>
  <c r="M91" i="75" s="1"/>
  <c r="M108" i="75" s="1"/>
  <c r="HQ48" i="75"/>
  <c r="L92" i="75" s="1"/>
  <c r="L109" i="75" s="1"/>
  <c r="HU48" i="75"/>
  <c r="K93" i="75" s="1"/>
  <c r="HY48" i="75"/>
  <c r="J94" i="75" s="1"/>
  <c r="IC48" i="75"/>
  <c r="N94" i="75" s="1"/>
  <c r="IG48" i="75"/>
  <c r="IK48" i="75"/>
  <c r="IO48" i="75"/>
  <c r="IS48" i="75"/>
  <c r="IW48" i="75"/>
  <c r="JA48" i="75"/>
  <c r="JE48" i="75"/>
  <c r="JI48" i="75"/>
  <c r="JM48" i="75"/>
  <c r="JQ48" i="75"/>
  <c r="K55" i="84"/>
  <c r="I55" i="84"/>
  <c r="G55" i="84"/>
  <c r="E55" i="84"/>
  <c r="J74" i="75"/>
  <c r="J108" i="75"/>
  <c r="K41" i="75"/>
  <c r="L41" i="75" s="1"/>
  <c r="K45" i="75"/>
  <c r="L45" i="75" s="1"/>
  <c r="C20" i="74"/>
  <c r="D13" i="74"/>
  <c r="R24" i="74"/>
  <c r="B984" i="93"/>
  <c r="C28" i="74"/>
  <c r="B53" i="82"/>
  <c r="C1015" i="93"/>
  <c r="G34" i="86"/>
  <c r="O1648" i="93"/>
  <c r="E31" i="72"/>
  <c r="E1585" i="93" s="1"/>
  <c r="O1669" i="93"/>
  <c r="L1669" i="93" s="1"/>
  <c r="L115" i="72"/>
  <c r="O111" i="72"/>
  <c r="C985" i="93"/>
  <c r="D14" i="86"/>
  <c r="R38" i="74"/>
  <c r="R28" i="74"/>
  <c r="R26" i="74"/>
  <c r="R22" i="74"/>
  <c r="R20" i="74"/>
  <c r="R33" i="74"/>
  <c r="R32" i="74"/>
  <c r="R31" i="74"/>
  <c r="R30" i="74"/>
  <c r="R23" i="74"/>
  <c r="R21" i="74"/>
  <c r="G985" i="93"/>
  <c r="H14" i="86"/>
  <c r="K985" i="93"/>
  <c r="E34" i="86"/>
  <c r="R34" i="74"/>
  <c r="B995" i="93"/>
  <c r="C12" i="86"/>
  <c r="D12" i="86"/>
  <c r="F995" i="93"/>
  <c r="H12" i="86"/>
  <c r="J995" i="93"/>
  <c r="E32" i="86"/>
  <c r="C1023" i="93"/>
  <c r="H30" i="86"/>
  <c r="G30" i="86"/>
  <c r="G1023" i="93"/>
  <c r="E50" i="86"/>
  <c r="D50" i="86"/>
  <c r="K1023" i="93"/>
  <c r="L93" i="85"/>
  <c r="C85" i="90"/>
  <c r="L63" i="85"/>
  <c r="H50" i="86"/>
  <c r="E1024" i="93"/>
  <c r="C51" i="86"/>
  <c r="I1024" i="93"/>
  <c r="G51" i="86"/>
  <c r="F51" i="86"/>
  <c r="C1025" i="93"/>
  <c r="H32" i="86"/>
  <c r="G32" i="86"/>
  <c r="G1025" i="93"/>
  <c r="E52" i="86"/>
  <c r="D52" i="86"/>
  <c r="K1025" i="93"/>
  <c r="H52" i="86"/>
  <c r="P8" i="72"/>
  <c r="O1968" i="93"/>
  <c r="E41" i="72"/>
  <c r="E1595" i="93" s="1"/>
  <c r="O1974" i="93"/>
  <c r="P66" i="93"/>
  <c r="O420" i="72"/>
  <c r="P927" i="93"/>
  <c r="P170" i="75"/>
  <c r="D985" i="93"/>
  <c r="D41" i="74"/>
  <c r="D997" i="93" s="1"/>
  <c r="E14" i="86"/>
  <c r="H985" i="93"/>
  <c r="I14" i="86"/>
  <c r="R29" i="74"/>
  <c r="R35" i="74"/>
  <c r="D993" i="93"/>
  <c r="F10" i="86"/>
  <c r="H993" i="93"/>
  <c r="C30" i="86"/>
  <c r="R37" i="74"/>
  <c r="E994" i="93"/>
  <c r="G11" i="86"/>
  <c r="I994" i="93"/>
  <c r="D31" i="86"/>
  <c r="C31" i="86"/>
  <c r="C995" i="93"/>
  <c r="E12" i="86"/>
  <c r="G995" i="93"/>
  <c r="I12" i="86"/>
  <c r="K995" i="93"/>
  <c r="F32" i="86"/>
  <c r="D1023" i="93"/>
  <c r="I30" i="86"/>
  <c r="H1023" i="93"/>
  <c r="F50" i="86"/>
  <c r="B1024" i="93"/>
  <c r="G31" i="86"/>
  <c r="F1024" i="93"/>
  <c r="D51" i="86"/>
  <c r="J1024" i="93"/>
  <c r="H51" i="86"/>
  <c r="D1025" i="93"/>
  <c r="I32" i="86"/>
  <c r="H1025" i="93"/>
  <c r="F52" i="86"/>
  <c r="O1826" i="93"/>
  <c r="R27" i="74"/>
  <c r="R36" i="74"/>
  <c r="E993" i="93"/>
  <c r="G10" i="86"/>
  <c r="I993" i="93"/>
  <c r="D30" i="86"/>
  <c r="B994" i="93"/>
  <c r="D11" i="86"/>
  <c r="C11" i="86"/>
  <c r="F994" i="93"/>
  <c r="H11" i="86"/>
  <c r="J994" i="93"/>
  <c r="E31" i="86"/>
  <c r="B1015" i="93"/>
  <c r="F34" i="86"/>
  <c r="F1015" i="93"/>
  <c r="C54" i="86"/>
  <c r="O1916" i="93"/>
  <c r="L1916" i="93" s="1"/>
  <c r="L362" i="72"/>
  <c r="O1987" i="93"/>
  <c r="L1987" i="93" s="1"/>
  <c r="L433" i="72"/>
  <c r="G36" i="86"/>
  <c r="C36" i="86"/>
  <c r="G16" i="86"/>
  <c r="C16" i="86"/>
  <c r="F16" i="86"/>
  <c r="F36" i="86"/>
  <c r="O8" i="86"/>
  <c r="K33" i="84"/>
  <c r="K26" i="84"/>
  <c r="C36" i="84"/>
  <c r="K29" i="84"/>
  <c r="IE771" i="93"/>
  <c r="A771" i="93"/>
  <c r="IF771" i="93"/>
  <c r="ID771" i="93"/>
  <c r="IH771" i="93"/>
  <c r="AG771" i="93"/>
  <c r="BB771" i="93"/>
  <c r="CS771" i="93"/>
  <c r="DN771" i="93"/>
  <c r="EJ771" i="93"/>
  <c r="IL771" i="93"/>
  <c r="IX772" i="93"/>
  <c r="IS772" i="93"/>
  <c r="IM772" i="93"/>
  <c r="IH772" i="93"/>
  <c r="EU772" i="93"/>
  <c r="EP772" i="93"/>
  <c r="EK772" i="93"/>
  <c r="EE772" i="93"/>
  <c r="DZ772" i="93"/>
  <c r="DU772" i="93"/>
  <c r="DO772" i="93"/>
  <c r="DJ772" i="93"/>
  <c r="DE772" i="93"/>
  <c r="CY772" i="93"/>
  <c r="CT772" i="93"/>
  <c r="CO772" i="93"/>
  <c r="CI772" i="93"/>
  <c r="CD772" i="93"/>
  <c r="BY772" i="93"/>
  <c r="BS772" i="93"/>
  <c r="BN772" i="93"/>
  <c r="BI772" i="93"/>
  <c r="BC772" i="93"/>
  <c r="AX772" i="93"/>
  <c r="AS772" i="93"/>
  <c r="AM772" i="93"/>
  <c r="AH772" i="93"/>
  <c r="AC772" i="93"/>
  <c r="W772" i="93"/>
  <c r="JA772" i="93"/>
  <c r="IU772" i="93"/>
  <c r="IP772" i="93"/>
  <c r="IK772" i="93"/>
  <c r="IE772" i="93"/>
  <c r="ES772" i="93"/>
  <c r="EM772" i="93"/>
  <c r="EH772" i="93"/>
  <c r="EC772" i="93"/>
  <c r="DW772" i="93"/>
  <c r="DR772" i="93"/>
  <c r="DM772" i="93"/>
  <c r="DG772" i="93"/>
  <c r="DB772" i="93"/>
  <c r="CW772" i="93"/>
  <c r="CQ772" i="93"/>
  <c r="CL772" i="93"/>
  <c r="CG772" i="93"/>
  <c r="CA772" i="93"/>
  <c r="BV772" i="93"/>
  <c r="BQ772" i="93"/>
  <c r="BK772" i="93"/>
  <c r="BF772" i="93"/>
  <c r="BA772" i="93"/>
  <c r="AU772" i="93"/>
  <c r="AP772" i="93"/>
  <c r="AK772" i="93"/>
  <c r="AE772" i="93"/>
  <c r="Z772" i="93"/>
  <c r="AD772" i="93"/>
  <c r="AY772" i="93"/>
  <c r="BU772" i="93"/>
  <c r="CP772" i="93"/>
  <c r="DK772" i="93"/>
  <c r="EG772" i="93"/>
  <c r="II772" i="93"/>
  <c r="IB774" i="93"/>
  <c r="HW774" i="93"/>
  <c r="HQ774" i="93"/>
  <c r="HL774" i="93"/>
  <c r="HG774" i="93"/>
  <c r="HA774" i="93"/>
  <c r="GV774" i="93"/>
  <c r="GQ774" i="93"/>
  <c r="GK774" i="93"/>
  <c r="GF774" i="93"/>
  <c r="GA774" i="93"/>
  <c r="FU774" i="93"/>
  <c r="FP774" i="93"/>
  <c r="FK774" i="93"/>
  <c r="FE774" i="93"/>
  <c r="EZ774" i="93"/>
  <c r="HY774" i="93"/>
  <c r="HT774" i="93"/>
  <c r="HO774" i="93"/>
  <c r="HI774" i="93"/>
  <c r="HD774" i="93"/>
  <c r="GY774" i="93"/>
  <c r="GS774" i="93"/>
  <c r="GN774" i="93"/>
  <c r="GI774" i="93"/>
  <c r="GC774" i="93"/>
  <c r="FX774" i="93"/>
  <c r="FS774" i="93"/>
  <c r="FM774" i="93"/>
  <c r="FH774" i="93"/>
  <c r="FC774" i="93"/>
  <c r="EW774" i="93"/>
  <c r="FQ774" i="93"/>
  <c r="GM774" i="93"/>
  <c r="HH774" i="93"/>
  <c r="IC774" i="93"/>
  <c r="Z777" i="93"/>
  <c r="BF777" i="93"/>
  <c r="CL777" i="93"/>
  <c r="DR777" i="93"/>
  <c r="I421" i="93"/>
  <c r="M453" i="93"/>
  <c r="A498" i="93"/>
  <c r="U498" i="93"/>
  <c r="IB767" i="93"/>
  <c r="HV767" i="93"/>
  <c r="HQ767" i="93"/>
  <c r="HL767" i="93"/>
  <c r="HF767" i="93"/>
  <c r="HA767" i="93"/>
  <c r="GV767" i="93"/>
  <c r="GP767" i="93"/>
  <c r="GK767" i="93"/>
  <c r="GF767" i="93"/>
  <c r="FZ767" i="93"/>
  <c r="FU767" i="93"/>
  <c r="FP767" i="93"/>
  <c r="FK767" i="93"/>
  <c r="FG767" i="93"/>
  <c r="FC767" i="93"/>
  <c r="FN767" i="93"/>
  <c r="GJ767" i="93"/>
  <c r="HE767" i="93"/>
  <c r="HZ767" i="93"/>
  <c r="JQ767" i="93"/>
  <c r="CU769" i="93"/>
  <c r="BT769" i="93"/>
  <c r="BO769" i="93"/>
  <c r="BJ769" i="93"/>
  <c r="BD769" i="93"/>
  <c r="AY769" i="93"/>
  <c r="AT769" i="93"/>
  <c r="CT769" i="93"/>
  <c r="BS769" i="93"/>
  <c r="BN769" i="93"/>
  <c r="BH769" i="93"/>
  <c r="BC769" i="93"/>
  <c r="AX769" i="93"/>
  <c r="AR769" i="93"/>
  <c r="CX769" i="93"/>
  <c r="BR769" i="93"/>
  <c r="BL769" i="93"/>
  <c r="BG769" i="93"/>
  <c r="BB769" i="93"/>
  <c r="AV769" i="93"/>
  <c r="AQ769" i="93"/>
  <c r="AZ769" i="93"/>
  <c r="IY770" i="93"/>
  <c r="IS770" i="93"/>
  <c r="IN770" i="93"/>
  <c r="II770" i="93"/>
  <c r="EV770" i="93"/>
  <c r="EQ770" i="93"/>
  <c r="EK770" i="93"/>
  <c r="EF770" i="93"/>
  <c r="EA770" i="93"/>
  <c r="DU770" i="93"/>
  <c r="DP770" i="93"/>
  <c r="DK770" i="93"/>
  <c r="DE770" i="93"/>
  <c r="CZ770" i="93"/>
  <c r="CU770" i="93"/>
  <c r="CO770" i="93"/>
  <c r="CJ770" i="93"/>
  <c r="CE770" i="93"/>
  <c r="BY770" i="93"/>
  <c r="BT770" i="93"/>
  <c r="BO770" i="93"/>
  <c r="BI770" i="93"/>
  <c r="BD770" i="93"/>
  <c r="AY770" i="93"/>
  <c r="AS770" i="93"/>
  <c r="AN770" i="93"/>
  <c r="AI770" i="93"/>
  <c r="AC770" i="93"/>
  <c r="X770" i="93"/>
  <c r="A770" i="93"/>
  <c r="AB770" i="93"/>
  <c r="AW770" i="93"/>
  <c r="BS770" i="93"/>
  <c r="CN770" i="93"/>
  <c r="DI770" i="93"/>
  <c r="EE770" i="93"/>
  <c r="IG770" i="93"/>
  <c r="AL771" i="93"/>
  <c r="BH771" i="93"/>
  <c r="CC771" i="93"/>
  <c r="DT771" i="93"/>
  <c r="EO771" i="93"/>
  <c r="IR771" i="93"/>
  <c r="AI772" i="93"/>
  <c r="BE772" i="93"/>
  <c r="BZ772" i="93"/>
  <c r="CU772" i="93"/>
  <c r="DQ772" i="93"/>
  <c r="EL772" i="93"/>
  <c r="IO772" i="93"/>
  <c r="A774" i="93"/>
  <c r="L774" i="93"/>
  <c r="JM774" i="93"/>
  <c r="JH774" i="93"/>
  <c r="JC774" i="93"/>
  <c r="JP774" i="93"/>
  <c r="JK774" i="93"/>
  <c r="JE774" i="93"/>
  <c r="FA774" i="93"/>
  <c r="FW774" i="93"/>
  <c r="GR774" i="93"/>
  <c r="HM774" i="93"/>
  <c r="JD774" i="93"/>
  <c r="JQ775" i="93"/>
  <c r="JI775" i="93"/>
  <c r="IC775" i="93"/>
  <c r="HU775" i="93"/>
  <c r="HM775" i="93"/>
  <c r="HE775" i="93"/>
  <c r="GW775" i="93"/>
  <c r="GO775" i="93"/>
  <c r="GG775" i="93"/>
  <c r="FY775" i="93"/>
  <c r="FQ775" i="93"/>
  <c r="FI775" i="93"/>
  <c r="FA775" i="93"/>
  <c r="FP775" i="93"/>
  <c r="GV775" i="93"/>
  <c r="IB775" i="93"/>
  <c r="CZ777" i="93"/>
  <c r="BX777" i="93"/>
  <c r="IU777" i="93"/>
  <c r="IM777" i="93"/>
  <c r="IE777" i="93"/>
  <c r="EU777" i="93"/>
  <c r="EM777" i="93"/>
  <c r="EE777" i="93"/>
  <c r="DW777" i="93"/>
  <c r="DO777" i="93"/>
  <c r="DG777" i="93"/>
  <c r="CY777" i="93"/>
  <c r="CQ777" i="93"/>
  <c r="CI777" i="93"/>
  <c r="CA777" i="93"/>
  <c r="BS777" i="93"/>
  <c r="BK777" i="93"/>
  <c r="BC777" i="93"/>
  <c r="AU777" i="93"/>
  <c r="AM777" i="93"/>
  <c r="AE777" i="93"/>
  <c r="W777" i="93"/>
  <c r="JB777" i="93"/>
  <c r="IT777" i="93"/>
  <c r="IL777" i="93"/>
  <c r="ID777" i="93"/>
  <c r="ET777" i="93"/>
  <c r="EL777" i="93"/>
  <c r="ED777" i="93"/>
  <c r="DV777" i="93"/>
  <c r="DN777" i="93"/>
  <c r="DF777" i="93"/>
  <c r="CX777" i="93"/>
  <c r="CP777" i="93"/>
  <c r="CH777" i="93"/>
  <c r="BZ777" i="93"/>
  <c r="BR777" i="93"/>
  <c r="BJ777" i="93"/>
  <c r="BB777" i="93"/>
  <c r="AT777" i="93"/>
  <c r="AL777" i="93"/>
  <c r="AD777" i="93"/>
  <c r="IY777" i="93"/>
  <c r="IQ777" i="93"/>
  <c r="II777" i="93"/>
  <c r="EQ777" i="93"/>
  <c r="EI777" i="93"/>
  <c r="EA777" i="93"/>
  <c r="DS777" i="93"/>
  <c r="DK777" i="93"/>
  <c r="DC777" i="93"/>
  <c r="CU777" i="93"/>
  <c r="CM777" i="93"/>
  <c r="CE777" i="93"/>
  <c r="BW777" i="93"/>
  <c r="BO777" i="93"/>
  <c r="BG777" i="93"/>
  <c r="AY777" i="93"/>
  <c r="AQ777" i="93"/>
  <c r="AI777" i="93"/>
  <c r="AA777" i="93"/>
  <c r="AH777" i="93"/>
  <c r="BN777" i="93"/>
  <c r="CT777" i="93"/>
  <c r="DZ777" i="93"/>
  <c r="L784" i="93"/>
  <c r="JL784" i="93"/>
  <c r="JD784" i="93"/>
  <c r="JK784" i="93"/>
  <c r="JC784" i="93"/>
  <c r="JP784" i="93"/>
  <c r="JH784" i="93"/>
  <c r="JO784" i="93"/>
  <c r="JG784" i="93"/>
  <c r="O84" i="72"/>
  <c r="O1638" i="93" s="1"/>
  <c r="P67" i="72"/>
  <c r="P80" i="72"/>
  <c r="P1634" i="93" s="1"/>
  <c r="O67" i="72"/>
  <c r="P1669" i="93"/>
  <c r="P111" i="72"/>
  <c r="P1743" i="93"/>
  <c r="L229" i="72"/>
  <c r="L1783" i="93" s="1"/>
  <c r="M279" i="72"/>
  <c r="M1833" i="93" s="1"/>
  <c r="M287" i="72"/>
  <c r="N95" i="93"/>
  <c r="V568" i="93"/>
  <c r="M500" i="93"/>
  <c r="F549" i="93"/>
  <c r="JN767" i="93"/>
  <c r="FB767" i="93"/>
  <c r="FT767" i="93"/>
  <c r="GO767" i="93"/>
  <c r="HJ767" i="93"/>
  <c r="HY768" i="93"/>
  <c r="HS768" i="93"/>
  <c r="HN768" i="93"/>
  <c r="HI768" i="93"/>
  <c r="HC768" i="93"/>
  <c r="GX768" i="93"/>
  <c r="GS768" i="93"/>
  <c r="GM768" i="93"/>
  <c r="GH768" i="93"/>
  <c r="GC768" i="93"/>
  <c r="FW768" i="93"/>
  <c r="FR768" i="93"/>
  <c r="FM768" i="93"/>
  <c r="FG768" i="93"/>
  <c r="FB768" i="93"/>
  <c r="FQ768" i="93"/>
  <c r="GL768" i="93"/>
  <c r="HG768" i="93"/>
  <c r="IC768" i="93"/>
  <c r="IG769" i="93"/>
  <c r="IY769" i="93"/>
  <c r="IT769" i="93"/>
  <c r="IN769" i="93"/>
  <c r="II769" i="93"/>
  <c r="ID769" i="93"/>
  <c r="EV769" i="93"/>
  <c r="EQ769" i="93"/>
  <c r="EL769" i="93"/>
  <c r="EF769" i="93"/>
  <c r="EA769" i="93"/>
  <c r="DV769" i="93"/>
  <c r="DP769" i="93"/>
  <c r="DK769" i="93"/>
  <c r="DF769" i="93"/>
  <c r="CP769" i="93"/>
  <c r="CJ769" i="93"/>
  <c r="CE769" i="93"/>
  <c r="BZ769" i="93"/>
  <c r="AN769" i="93"/>
  <c r="AI769" i="93"/>
  <c r="AD769" i="93"/>
  <c r="X769" i="93"/>
  <c r="A769" i="93"/>
  <c r="IX769" i="93"/>
  <c r="IR769" i="93"/>
  <c r="IM769" i="93"/>
  <c r="IH769" i="93"/>
  <c r="EU769" i="93"/>
  <c r="EP769" i="93"/>
  <c r="EJ769" i="93"/>
  <c r="EE769" i="93"/>
  <c r="DZ769" i="93"/>
  <c r="DT769" i="93"/>
  <c r="DO769" i="93"/>
  <c r="DJ769" i="93"/>
  <c r="DD769" i="93"/>
  <c r="CN769" i="93"/>
  <c r="CI769" i="93"/>
  <c r="CD769" i="93"/>
  <c r="AM769" i="93"/>
  <c r="AH769" i="93"/>
  <c r="AB769" i="93"/>
  <c r="W769" i="93"/>
  <c r="JB769" i="93"/>
  <c r="IV769" i="93"/>
  <c r="IQ769" i="93"/>
  <c r="IL769" i="93"/>
  <c r="IF769" i="93"/>
  <c r="ET769" i="93"/>
  <c r="EN769" i="93"/>
  <c r="EI769" i="93"/>
  <c r="ED769" i="93"/>
  <c r="DX769" i="93"/>
  <c r="DS769" i="93"/>
  <c r="DN769" i="93"/>
  <c r="DH769" i="93"/>
  <c r="CR769" i="93"/>
  <c r="CM769" i="93"/>
  <c r="CH769" i="93"/>
  <c r="CB769" i="93"/>
  <c r="AL769" i="93"/>
  <c r="AF769" i="93"/>
  <c r="AA769" i="93"/>
  <c r="AJ769" i="93"/>
  <c r="BF769" i="93"/>
  <c r="CQ769" i="93"/>
  <c r="DW769" i="93"/>
  <c r="ER769" i="93"/>
  <c r="IP769" i="93"/>
  <c r="AG770" i="93"/>
  <c r="BC770" i="93"/>
  <c r="BX770" i="93"/>
  <c r="CS770" i="93"/>
  <c r="DO770" i="93"/>
  <c r="EJ770" i="93"/>
  <c r="IM770" i="93"/>
  <c r="AR771" i="93"/>
  <c r="BM771" i="93"/>
  <c r="CH771" i="93"/>
  <c r="DD771" i="93"/>
  <c r="DY771" i="93"/>
  <c r="ET771" i="93"/>
  <c r="IW771" i="93"/>
  <c r="A772" i="93"/>
  <c r="JN772" i="93"/>
  <c r="JI772" i="93"/>
  <c r="JC772" i="93"/>
  <c r="JQ772" i="93"/>
  <c r="JK772" i="93"/>
  <c r="JF772" i="93"/>
  <c r="GI772" i="93"/>
  <c r="AO772" i="93"/>
  <c r="BJ772" i="93"/>
  <c r="CE772" i="93"/>
  <c r="DA772" i="93"/>
  <c r="DV772" i="93"/>
  <c r="EQ772" i="93"/>
  <c r="IT772" i="93"/>
  <c r="JO772" i="93"/>
  <c r="FG774" i="93"/>
  <c r="GB774" i="93"/>
  <c r="GW774" i="93"/>
  <c r="HS774" i="93"/>
  <c r="JI774" i="93"/>
  <c r="FX775" i="93"/>
  <c r="HD775" i="93"/>
  <c r="JH775" i="93"/>
  <c r="K776" i="93"/>
  <c r="L776" i="93" s="1"/>
  <c r="AP777" i="93"/>
  <c r="BV777" i="93"/>
  <c r="DB777" i="93"/>
  <c r="EH777" i="93"/>
  <c r="IH777" i="93"/>
  <c r="CV778" i="93"/>
  <c r="W778" i="93"/>
  <c r="BC778" i="93"/>
  <c r="CI778" i="93"/>
  <c r="DO778" i="93"/>
  <c r="EU778" i="93"/>
  <c r="IE779" i="93"/>
  <c r="A779" i="93"/>
  <c r="IH779" i="93"/>
  <c r="ID779" i="93"/>
  <c r="IG779" i="93"/>
  <c r="AF779" i="93"/>
  <c r="BL779" i="93"/>
  <c r="CR779" i="93"/>
  <c r="DX779" i="93"/>
  <c r="IV779" i="93"/>
  <c r="O1562" i="93"/>
  <c r="O80" i="72"/>
  <c r="O1634" i="93" s="1"/>
  <c r="O1761" i="93"/>
  <c r="O189" i="72"/>
  <c r="O1870" i="93"/>
  <c r="G101" i="90"/>
  <c r="O1900" i="93"/>
  <c r="E38" i="72"/>
  <c r="E1592" i="93" s="1"/>
  <c r="E171" i="90"/>
  <c r="E170" i="90"/>
  <c r="F552" i="93"/>
  <c r="F553" i="93"/>
  <c r="L354" i="93"/>
  <c r="J453" i="93"/>
  <c r="P453" i="93"/>
  <c r="S459" i="93"/>
  <c r="G469" i="93"/>
  <c r="S469" i="93"/>
  <c r="D474" i="93"/>
  <c r="P474" i="93"/>
  <c r="J474" i="93"/>
  <c r="G474" i="93"/>
  <c r="P500" i="93"/>
  <c r="A499" i="93"/>
  <c r="U499" i="93"/>
  <c r="J513" i="93"/>
  <c r="M519" i="93"/>
  <c r="S541" i="93"/>
  <c r="G554" i="93"/>
  <c r="M554" i="93"/>
  <c r="S554" i="93"/>
  <c r="S562" i="93"/>
  <c r="A767" i="93"/>
  <c r="K767" i="93"/>
  <c r="L767" i="93" s="1"/>
  <c r="FF767" i="93"/>
  <c r="FY767" i="93"/>
  <c r="GT767" i="93"/>
  <c r="HP767" i="93"/>
  <c r="JF767" i="93"/>
  <c r="JQ768" i="93"/>
  <c r="FV768" i="93"/>
  <c r="GQ768" i="93"/>
  <c r="HM768" i="93"/>
  <c r="JC768" i="93"/>
  <c r="AP769" i="93"/>
  <c r="BK769" i="93"/>
  <c r="CA769" i="93"/>
  <c r="CV769" i="93"/>
  <c r="DG769" i="93"/>
  <c r="EB769" i="93"/>
  <c r="IU769" i="93"/>
  <c r="AM770" i="93"/>
  <c r="BH770" i="93"/>
  <c r="CC770" i="93"/>
  <c r="CY770" i="93"/>
  <c r="DT770" i="93"/>
  <c r="EO770" i="93"/>
  <c r="IR770" i="93"/>
  <c r="AB771" i="93"/>
  <c r="AW771" i="93"/>
  <c r="BR771" i="93"/>
  <c r="CN771" i="93"/>
  <c r="DI771" i="93"/>
  <c r="ED771" i="93"/>
  <c r="IG771" i="93"/>
  <c r="Y772" i="93"/>
  <c r="AT772" i="93"/>
  <c r="BO772" i="93"/>
  <c r="CK772" i="93"/>
  <c r="DF772" i="93"/>
  <c r="EA772" i="93"/>
  <c r="ID772" i="93"/>
  <c r="IY772" i="93"/>
  <c r="JP773" i="93"/>
  <c r="JF773" i="93"/>
  <c r="HZ773" i="93"/>
  <c r="HT773" i="93"/>
  <c r="HO773" i="93"/>
  <c r="HJ773" i="93"/>
  <c r="HD773" i="93"/>
  <c r="GY773" i="93"/>
  <c r="GT773" i="93"/>
  <c r="GN773" i="93"/>
  <c r="GI773" i="93"/>
  <c r="GD773" i="93"/>
  <c r="FX773" i="93"/>
  <c r="FS773" i="93"/>
  <c r="FN773" i="93"/>
  <c r="FH773" i="93"/>
  <c r="FC773" i="93"/>
  <c r="JN773" i="93"/>
  <c r="JC773" i="93"/>
  <c r="IB773" i="93"/>
  <c r="HW773" i="93"/>
  <c r="HR773" i="93"/>
  <c r="HL773" i="93"/>
  <c r="HG773" i="93"/>
  <c r="HB773" i="93"/>
  <c r="GV773" i="93"/>
  <c r="GQ773" i="93"/>
  <c r="GL773" i="93"/>
  <c r="GF773" i="93"/>
  <c r="GA773" i="93"/>
  <c r="FV773" i="93"/>
  <c r="FP773" i="93"/>
  <c r="FK773" i="93"/>
  <c r="FF773" i="93"/>
  <c r="FO773" i="93"/>
  <c r="GJ773" i="93"/>
  <c r="HF773" i="93"/>
  <c r="IA773" i="93"/>
  <c r="FL774" i="93"/>
  <c r="GG774" i="93"/>
  <c r="HC774" i="93"/>
  <c r="HX774" i="93"/>
  <c r="JO774" i="93"/>
  <c r="EZ775" i="93"/>
  <c r="GF775" i="93"/>
  <c r="HL775" i="93"/>
  <c r="JP775" i="93"/>
  <c r="A777" i="93"/>
  <c r="K777" i="93"/>
  <c r="AX777" i="93"/>
  <c r="CD777" i="93"/>
  <c r="DJ777" i="93"/>
  <c r="EP777" i="93"/>
  <c r="IP777" i="93"/>
  <c r="BX778" i="93"/>
  <c r="DC778" i="93"/>
  <c r="BW778" i="93"/>
  <c r="IV778" i="93"/>
  <c r="IN778" i="93"/>
  <c r="IF778" i="93"/>
  <c r="EV778" i="93"/>
  <c r="EN778" i="93"/>
  <c r="EF778" i="93"/>
  <c r="DX778" i="93"/>
  <c r="DP778" i="93"/>
  <c r="DH778" i="93"/>
  <c r="CZ778" i="93"/>
  <c r="CR778" i="93"/>
  <c r="CJ778" i="93"/>
  <c r="CB778" i="93"/>
  <c r="BT778" i="93"/>
  <c r="BL778" i="93"/>
  <c r="BD778" i="93"/>
  <c r="AV778" i="93"/>
  <c r="AN778" i="93"/>
  <c r="AF778" i="93"/>
  <c r="X778" i="93"/>
  <c r="AE778" i="93"/>
  <c r="BK778" i="93"/>
  <c r="CQ778" i="93"/>
  <c r="DW778" i="93"/>
  <c r="IU778" i="93"/>
  <c r="L782" i="93"/>
  <c r="JN782" i="93"/>
  <c r="JF782" i="93"/>
  <c r="JM782" i="93"/>
  <c r="JE782" i="93"/>
  <c r="K786" i="93"/>
  <c r="L786" i="93" s="1"/>
  <c r="K787" i="93"/>
  <c r="K791" i="93"/>
  <c r="L791" i="93" s="1"/>
  <c r="F14" i="86"/>
  <c r="D32" i="86"/>
  <c r="F473" i="93"/>
  <c r="F805" i="93"/>
  <c r="E805" i="93"/>
  <c r="W767" i="93"/>
  <c r="AA767" i="93"/>
  <c r="AE767" i="93"/>
  <c r="AI767" i="93"/>
  <c r="AM767" i="93"/>
  <c r="AQ767" i="93"/>
  <c r="AU767" i="93"/>
  <c r="AY767" i="93"/>
  <c r="BC767" i="93"/>
  <c r="BG767" i="93"/>
  <c r="BK767" i="93"/>
  <c r="BO767" i="93"/>
  <c r="BS767" i="93"/>
  <c r="BW767" i="93"/>
  <c r="CA767" i="93"/>
  <c r="CE767" i="93"/>
  <c r="CI767" i="93"/>
  <c r="CM767" i="93"/>
  <c r="CQ767" i="93"/>
  <c r="CU767" i="93"/>
  <c r="CY767" i="93"/>
  <c r="DC767" i="93"/>
  <c r="DG767" i="93"/>
  <c r="DK767" i="93"/>
  <c r="DO767" i="93"/>
  <c r="DS767" i="93"/>
  <c r="DW767" i="93"/>
  <c r="EA767" i="93"/>
  <c r="EE767" i="93"/>
  <c r="EI767" i="93"/>
  <c r="EM767" i="93"/>
  <c r="EQ767" i="93"/>
  <c r="EU767" i="93"/>
  <c r="IG767" i="93"/>
  <c r="IL767" i="93"/>
  <c r="IR767" i="93"/>
  <c r="IW767" i="93"/>
  <c r="JH767" i="93"/>
  <c r="JM767" i="93"/>
  <c r="Y768" i="93"/>
  <c r="AD768" i="93"/>
  <c r="AI768" i="93"/>
  <c r="AO768" i="93"/>
  <c r="AT768" i="93"/>
  <c r="AY768" i="93"/>
  <c r="BE768" i="93"/>
  <c r="BJ768" i="93"/>
  <c r="BO768" i="93"/>
  <c r="BU768" i="93"/>
  <c r="BZ768" i="93"/>
  <c r="CE768" i="93"/>
  <c r="CK768" i="93"/>
  <c r="CP768" i="93"/>
  <c r="CU768" i="93"/>
  <c r="DA768" i="93"/>
  <c r="DF768" i="93"/>
  <c r="DK768" i="93"/>
  <c r="DQ768" i="93"/>
  <c r="DV768" i="93"/>
  <c r="EA768" i="93"/>
  <c r="EG768" i="93"/>
  <c r="EL768" i="93"/>
  <c r="EQ768" i="93"/>
  <c r="ID768" i="93"/>
  <c r="II768" i="93"/>
  <c r="IO768" i="93"/>
  <c r="IT768" i="93"/>
  <c r="JE768" i="93"/>
  <c r="JJ768" i="93"/>
  <c r="FD769" i="93"/>
  <c r="FJ769" i="93"/>
  <c r="FO769" i="93"/>
  <c r="FT769" i="93"/>
  <c r="FZ769" i="93"/>
  <c r="GE769" i="93"/>
  <c r="GJ769" i="93"/>
  <c r="GP769" i="93"/>
  <c r="GU769" i="93"/>
  <c r="GZ769" i="93"/>
  <c r="HF769" i="93"/>
  <c r="HK769" i="93"/>
  <c r="HP769" i="93"/>
  <c r="HV769" i="93"/>
  <c r="IA769" i="93"/>
  <c r="FA770" i="93"/>
  <c r="FG770" i="93"/>
  <c r="FL770" i="93"/>
  <c r="FQ770" i="93"/>
  <c r="FW770" i="93"/>
  <c r="GB770" i="93"/>
  <c r="GG770" i="93"/>
  <c r="GM770" i="93"/>
  <c r="GR770" i="93"/>
  <c r="GW770" i="93"/>
  <c r="HC770" i="93"/>
  <c r="HH770" i="93"/>
  <c r="HM770" i="93"/>
  <c r="HS770" i="93"/>
  <c r="HX770" i="93"/>
  <c r="JD770" i="93"/>
  <c r="JI770" i="93"/>
  <c r="JO770" i="93"/>
  <c r="JO771" i="93"/>
  <c r="JK771" i="93"/>
  <c r="JG771" i="93"/>
  <c r="JC771" i="93"/>
  <c r="IY771" i="93"/>
  <c r="IU771" i="93"/>
  <c r="IQ771" i="93"/>
  <c r="IM771" i="93"/>
  <c r="II771" i="93"/>
  <c r="IA771" i="93"/>
  <c r="HW771" i="93"/>
  <c r="HS771" i="93"/>
  <c r="HO771" i="93"/>
  <c r="HK771" i="93"/>
  <c r="HG771" i="93"/>
  <c r="HC771" i="93"/>
  <c r="GY771" i="93"/>
  <c r="GU771" i="93"/>
  <c r="GQ771" i="93"/>
  <c r="GM771" i="93"/>
  <c r="GI771" i="93"/>
  <c r="GE771" i="93"/>
  <c r="GA771" i="93"/>
  <c r="FW771" i="93"/>
  <c r="FS771" i="93"/>
  <c r="FO771" i="93"/>
  <c r="FK771" i="93"/>
  <c r="FG771" i="93"/>
  <c r="FC771" i="93"/>
  <c r="EY771" i="93"/>
  <c r="EU771" i="93"/>
  <c r="EQ771" i="93"/>
  <c r="EM771" i="93"/>
  <c r="EI771" i="93"/>
  <c r="EE771" i="93"/>
  <c r="EA771" i="93"/>
  <c r="DW771" i="93"/>
  <c r="DS771" i="93"/>
  <c r="DO771" i="93"/>
  <c r="DK771" i="93"/>
  <c r="DG771" i="93"/>
  <c r="DC771" i="93"/>
  <c r="CY771" i="93"/>
  <c r="CU771" i="93"/>
  <c r="CQ771" i="93"/>
  <c r="CM771" i="93"/>
  <c r="CI771" i="93"/>
  <c r="CE771" i="93"/>
  <c r="CA771" i="93"/>
  <c r="BW771" i="93"/>
  <c r="BS771" i="93"/>
  <c r="BO771" i="93"/>
  <c r="BK771" i="93"/>
  <c r="BG771" i="93"/>
  <c r="BC771" i="93"/>
  <c r="AY771" i="93"/>
  <c r="AU771" i="93"/>
  <c r="AQ771" i="93"/>
  <c r="AM771" i="93"/>
  <c r="AI771" i="93"/>
  <c r="AE771" i="93"/>
  <c r="AA771" i="93"/>
  <c r="W771" i="93"/>
  <c r="X771" i="93"/>
  <c r="AC771" i="93"/>
  <c r="AH771" i="93"/>
  <c r="AN771" i="93"/>
  <c r="AS771" i="93"/>
  <c r="AX771" i="93"/>
  <c r="BD771" i="93"/>
  <c r="BI771" i="93"/>
  <c r="BN771" i="93"/>
  <c r="BT771" i="93"/>
  <c r="BY771" i="93"/>
  <c r="CD771" i="93"/>
  <c r="CJ771" i="93"/>
  <c r="CO771" i="93"/>
  <c r="CT771" i="93"/>
  <c r="CZ771" i="93"/>
  <c r="DE771" i="93"/>
  <c r="DJ771" i="93"/>
  <c r="DP771" i="93"/>
  <c r="DU771" i="93"/>
  <c r="DZ771" i="93"/>
  <c r="EF771" i="93"/>
  <c r="EK771" i="93"/>
  <c r="EP771" i="93"/>
  <c r="EV771" i="93"/>
  <c r="FA771" i="93"/>
  <c r="FF771" i="93"/>
  <c r="FL771" i="93"/>
  <c r="FQ771" i="93"/>
  <c r="FV771" i="93"/>
  <c r="GB771" i="93"/>
  <c r="GG771" i="93"/>
  <c r="GL771" i="93"/>
  <c r="GR771" i="93"/>
  <c r="GW771" i="93"/>
  <c r="HB771" i="93"/>
  <c r="HH771" i="93"/>
  <c r="HM771" i="93"/>
  <c r="HR771" i="93"/>
  <c r="HX771" i="93"/>
  <c r="IC771" i="93"/>
  <c r="IN771" i="93"/>
  <c r="IS771" i="93"/>
  <c r="IX771" i="93"/>
  <c r="JD771" i="93"/>
  <c r="JI771" i="93"/>
  <c r="JN771" i="93"/>
  <c r="IF772" i="93"/>
  <c r="K773" i="93"/>
  <c r="L773" i="93" s="1"/>
  <c r="W773" i="93"/>
  <c r="AB773" i="93"/>
  <c r="AH773" i="93"/>
  <c r="AM773" i="93"/>
  <c r="AR773" i="93"/>
  <c r="AX773" i="93"/>
  <c r="BC773" i="93"/>
  <c r="BH773" i="93"/>
  <c r="BN773" i="93"/>
  <c r="BS773" i="93"/>
  <c r="BX773" i="93"/>
  <c r="CD773" i="93"/>
  <c r="CI773" i="93"/>
  <c r="CN773" i="93"/>
  <c r="CT773" i="93"/>
  <c r="CY773" i="93"/>
  <c r="DD773" i="93"/>
  <c r="DJ773" i="93"/>
  <c r="DO773" i="93"/>
  <c r="DT773" i="93"/>
  <c r="DZ773" i="93"/>
  <c r="EE773" i="93"/>
  <c r="EJ773" i="93"/>
  <c r="EP773" i="93"/>
  <c r="EU773" i="93"/>
  <c r="IH773" i="93"/>
  <c r="IM773" i="93"/>
  <c r="IR773" i="93"/>
  <c r="IX773" i="93"/>
  <c r="IH774" i="93"/>
  <c r="ID774" i="93"/>
  <c r="Y774" i="93"/>
  <c r="AE774" i="93"/>
  <c r="AJ774" i="93"/>
  <c r="AO774" i="93"/>
  <c r="AU774" i="93"/>
  <c r="AZ774" i="93"/>
  <c r="BE774" i="93"/>
  <c r="BK774" i="93"/>
  <c r="BP774" i="93"/>
  <c r="CA774" i="93"/>
  <c r="CF774" i="93"/>
  <c r="CK774" i="93"/>
  <c r="CQ774" i="93"/>
  <c r="CV774" i="93"/>
  <c r="DG774" i="93"/>
  <c r="DL774" i="93"/>
  <c r="DQ774" i="93"/>
  <c r="DW774" i="93"/>
  <c r="EB774" i="93"/>
  <c r="EG774" i="93"/>
  <c r="EM774" i="93"/>
  <c r="ER774" i="93"/>
  <c r="IE774" i="93"/>
  <c r="IJ774" i="93"/>
  <c r="IO774" i="93"/>
  <c r="IU774" i="93"/>
  <c r="IZ774" i="93"/>
  <c r="AS775" i="93"/>
  <c r="BA775" i="93"/>
  <c r="BI775" i="93"/>
  <c r="BQ775" i="93"/>
  <c r="DE775" i="93"/>
  <c r="DM775" i="93"/>
  <c r="DU775" i="93"/>
  <c r="EC775" i="93"/>
  <c r="EK775" i="93"/>
  <c r="ES775" i="93"/>
  <c r="IS775" i="93"/>
  <c r="JP777" i="93"/>
  <c r="JL777" i="93"/>
  <c r="JH777" i="93"/>
  <c r="JD777" i="93"/>
  <c r="JG777" i="93"/>
  <c r="JO777" i="93"/>
  <c r="FD778" i="93"/>
  <c r="FL778" i="93"/>
  <c r="FT778" i="93"/>
  <c r="GB778" i="93"/>
  <c r="GJ778" i="93"/>
  <c r="GR778" i="93"/>
  <c r="GZ778" i="93"/>
  <c r="HH778" i="93"/>
  <c r="HP778" i="93"/>
  <c r="HX778" i="93"/>
  <c r="JD778" i="93"/>
  <c r="JL778" i="93"/>
  <c r="JO779" i="93"/>
  <c r="JK779" i="93"/>
  <c r="JG779" i="93"/>
  <c r="JC779" i="93"/>
  <c r="IY779" i="93"/>
  <c r="IU779" i="93"/>
  <c r="IQ779" i="93"/>
  <c r="IM779" i="93"/>
  <c r="II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EU779" i="93"/>
  <c r="EQ779" i="93"/>
  <c r="EM779" i="93"/>
  <c r="EI779" i="93"/>
  <c r="EE779" i="93"/>
  <c r="EA779" i="93"/>
  <c r="DW779" i="93"/>
  <c r="DS779" i="93"/>
  <c r="DO779" i="93"/>
  <c r="DK779" i="93"/>
  <c r="DG779" i="93"/>
  <c r="DC779" i="93"/>
  <c r="CY779" i="93"/>
  <c r="CU779" i="93"/>
  <c r="CQ779" i="93"/>
  <c r="CM779" i="93"/>
  <c r="CI779" i="93"/>
  <c r="CE779" i="93"/>
  <c r="CA779" i="93"/>
  <c r="BW779" i="93"/>
  <c r="BS779" i="93"/>
  <c r="BO779" i="93"/>
  <c r="BK779" i="93"/>
  <c r="BG779" i="93"/>
  <c r="BC779" i="93"/>
  <c r="AY779" i="93"/>
  <c r="AU779" i="93"/>
  <c r="AQ779" i="93"/>
  <c r="AM779" i="93"/>
  <c r="AI779" i="93"/>
  <c r="AE779" i="93"/>
  <c r="AA779" i="93"/>
  <c r="W779" i="93"/>
  <c r="JN779" i="93"/>
  <c r="JJ779" i="93"/>
  <c r="JF779" i="93"/>
  <c r="JB779" i="93"/>
  <c r="IX779" i="93"/>
  <c r="IT779" i="93"/>
  <c r="IP779" i="93"/>
  <c r="IL779" i="93"/>
  <c r="HZ779" i="93"/>
  <c r="HV779" i="93"/>
  <c r="HR779" i="93"/>
  <c r="HN779" i="93"/>
  <c r="HJ779" i="93"/>
  <c r="HF779" i="93"/>
  <c r="HB779" i="93"/>
  <c r="GX779" i="93"/>
  <c r="GT779" i="93"/>
  <c r="GP779" i="93"/>
  <c r="GL779" i="93"/>
  <c r="GH779" i="93"/>
  <c r="GD779" i="93"/>
  <c r="FZ779" i="93"/>
  <c r="FV779" i="93"/>
  <c r="FR779" i="93"/>
  <c r="FN779" i="93"/>
  <c r="FJ779" i="93"/>
  <c r="FF779" i="93"/>
  <c r="FB779" i="93"/>
  <c r="EX779" i="93"/>
  <c r="ET779" i="93"/>
  <c r="EP779" i="93"/>
  <c r="EL779" i="93"/>
  <c r="EH779" i="93"/>
  <c r="ED779" i="93"/>
  <c r="DZ779" i="93"/>
  <c r="DV779" i="93"/>
  <c r="DR779" i="93"/>
  <c r="DN779" i="93"/>
  <c r="DJ779" i="93"/>
  <c r="DF779" i="93"/>
  <c r="DB779" i="93"/>
  <c r="CX779" i="93"/>
  <c r="CT779" i="93"/>
  <c r="CP779" i="93"/>
  <c r="CL779" i="93"/>
  <c r="CH779" i="93"/>
  <c r="CD779" i="93"/>
  <c r="BZ779" i="93"/>
  <c r="BV779" i="93"/>
  <c r="BR779" i="93"/>
  <c r="BN779" i="93"/>
  <c r="BJ779" i="93"/>
  <c r="BF779" i="93"/>
  <c r="BB779" i="93"/>
  <c r="AX779" i="93"/>
  <c r="AT779" i="93"/>
  <c r="AP779" i="93"/>
  <c r="AL779" i="93"/>
  <c r="AH779" i="93"/>
  <c r="AD779" i="93"/>
  <c r="Z779" i="93"/>
  <c r="JQ779" i="93"/>
  <c r="JM779" i="93"/>
  <c r="JI779" i="93"/>
  <c r="JE779" i="93"/>
  <c r="JA779" i="93"/>
  <c r="IW779" i="93"/>
  <c r="Y779" i="93"/>
  <c r="AG779" i="93"/>
  <c r="AO779" i="93"/>
  <c r="AW779" i="93"/>
  <c r="BE779" i="93"/>
  <c r="BM779" i="93"/>
  <c r="BU779" i="93"/>
  <c r="CC779" i="93"/>
  <c r="CK779" i="93"/>
  <c r="CS779" i="93"/>
  <c r="DA779" i="93"/>
  <c r="DI779" i="93"/>
  <c r="DQ779" i="93"/>
  <c r="DY779" i="93"/>
  <c r="EG779" i="93"/>
  <c r="EO779" i="93"/>
  <c r="EW779" i="93"/>
  <c r="FE779" i="93"/>
  <c r="FM779" i="93"/>
  <c r="FU779" i="93"/>
  <c r="GC779" i="93"/>
  <c r="GK779" i="93"/>
  <c r="GS779" i="93"/>
  <c r="HA779" i="93"/>
  <c r="HI779" i="93"/>
  <c r="HQ779" i="93"/>
  <c r="HY779" i="93"/>
  <c r="IO779" i="93"/>
  <c r="IZ779" i="93"/>
  <c r="JP779" i="93"/>
  <c r="DQ780" i="93"/>
  <c r="EG780" i="93"/>
  <c r="IO780" i="93"/>
  <c r="IA781" i="93"/>
  <c r="HW781" i="93"/>
  <c r="HS781" i="93"/>
  <c r="HO781" i="93"/>
  <c r="HK781" i="93"/>
  <c r="HG781" i="93"/>
  <c r="HC781" i="93"/>
  <c r="GY781" i="93"/>
  <c r="GU781" i="93"/>
  <c r="GQ781" i="93"/>
  <c r="GM781" i="93"/>
  <c r="GI781" i="93"/>
  <c r="GE781" i="93"/>
  <c r="GA781" i="93"/>
  <c r="FW781" i="93"/>
  <c r="FS781" i="93"/>
  <c r="FO781" i="93"/>
  <c r="FK781" i="93"/>
  <c r="FG781" i="93"/>
  <c r="FC781" i="93"/>
  <c r="FN781" i="93"/>
  <c r="GD781" i="93"/>
  <c r="GT781" i="93"/>
  <c r="HJ781" i="93"/>
  <c r="HZ781" i="93"/>
  <c r="JF781" i="93"/>
  <c r="FG789" i="93"/>
  <c r="JN790" i="93"/>
  <c r="JJ790" i="93"/>
  <c r="JF790" i="93"/>
  <c r="JB790" i="93"/>
  <c r="IX790" i="93"/>
  <c r="IT790" i="93"/>
  <c r="IP790" i="93"/>
  <c r="IL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T790" i="93"/>
  <c r="EP790" i="93"/>
  <c r="EL790" i="93"/>
  <c r="EH790" i="93"/>
  <c r="ED790" i="93"/>
  <c r="DZ790" i="93"/>
  <c r="DV790" i="93"/>
  <c r="DR790" i="93"/>
  <c r="DN790" i="93"/>
  <c r="DJ790" i="93"/>
  <c r="DF790" i="93"/>
  <c r="DB790" i="93"/>
  <c r="CX790" i="93"/>
  <c r="CT790" i="93"/>
  <c r="CP790" i="93"/>
  <c r="CL790" i="93"/>
  <c r="CH790" i="93"/>
  <c r="CD790" i="93"/>
  <c r="BZ790" i="93"/>
  <c r="BV790" i="93"/>
  <c r="BR790" i="93"/>
  <c r="BN790" i="93"/>
  <c r="BJ790" i="93"/>
  <c r="BF790" i="93"/>
  <c r="BB790" i="93"/>
  <c r="AX790" i="93"/>
  <c r="AT790" i="93"/>
  <c r="AP790" i="93"/>
  <c r="AL790" i="93"/>
  <c r="AH790" i="93"/>
  <c r="AD790" i="93"/>
  <c r="Z790" i="93"/>
  <c r="JO790" i="93"/>
  <c r="JI790" i="93"/>
  <c r="JD790" i="93"/>
  <c r="IY790" i="93"/>
  <c r="IS790" i="93"/>
  <c r="IN790" i="93"/>
  <c r="II790" i="93"/>
  <c r="IC790" i="93"/>
  <c r="HX790" i="93"/>
  <c r="HS790" i="93"/>
  <c r="HM790" i="93"/>
  <c r="HH790" i="93"/>
  <c r="HC790" i="93"/>
  <c r="GW790" i="93"/>
  <c r="GR790" i="93"/>
  <c r="GM790" i="93"/>
  <c r="GG790" i="93"/>
  <c r="GB790" i="93"/>
  <c r="FW790" i="93"/>
  <c r="FQ790" i="93"/>
  <c r="FL790" i="93"/>
  <c r="FG790" i="93"/>
  <c r="FA790" i="93"/>
  <c r="EV790" i="93"/>
  <c r="EQ790" i="93"/>
  <c r="EK790" i="93"/>
  <c r="EF790" i="93"/>
  <c r="EA790" i="93"/>
  <c r="DU790" i="93"/>
  <c r="DP790" i="93"/>
  <c r="DK790" i="93"/>
  <c r="DE790" i="93"/>
  <c r="CZ790" i="93"/>
  <c r="CU790" i="93"/>
  <c r="CO790" i="93"/>
  <c r="CJ790" i="93"/>
  <c r="CE790" i="93"/>
  <c r="BY790" i="93"/>
  <c r="BT790" i="93"/>
  <c r="BO790" i="93"/>
  <c r="BI790" i="93"/>
  <c r="BD790" i="93"/>
  <c r="AY790" i="93"/>
  <c r="AS790" i="93"/>
  <c r="AN790" i="93"/>
  <c r="AI790" i="93"/>
  <c r="AC790" i="93"/>
  <c r="X790" i="93"/>
  <c r="JM790" i="93"/>
  <c r="JH790" i="93"/>
  <c r="JC790" i="93"/>
  <c r="IW790" i="93"/>
  <c r="IR790" i="93"/>
  <c r="IM790" i="93"/>
  <c r="IB790" i="93"/>
  <c r="HW790" i="93"/>
  <c r="HQ790" i="93"/>
  <c r="HL790" i="93"/>
  <c r="HG790" i="93"/>
  <c r="HA790" i="93"/>
  <c r="GV790" i="93"/>
  <c r="GQ790" i="93"/>
  <c r="GK790" i="93"/>
  <c r="GF790" i="93"/>
  <c r="GA790" i="93"/>
  <c r="FU790" i="93"/>
  <c r="FP790" i="93"/>
  <c r="FK790" i="93"/>
  <c r="FE790" i="93"/>
  <c r="EZ790" i="93"/>
  <c r="EU790" i="93"/>
  <c r="EO790" i="93"/>
  <c r="EJ790" i="93"/>
  <c r="EE790" i="93"/>
  <c r="DY790" i="93"/>
  <c r="DT790" i="93"/>
  <c r="DO790" i="93"/>
  <c r="DI790" i="93"/>
  <c r="DD790" i="93"/>
  <c r="CY790" i="93"/>
  <c r="CS790" i="93"/>
  <c r="CN790" i="93"/>
  <c r="CI790" i="93"/>
  <c r="CC790" i="93"/>
  <c r="BX790" i="93"/>
  <c r="BS790" i="93"/>
  <c r="BM790" i="93"/>
  <c r="BH790" i="93"/>
  <c r="BC790" i="93"/>
  <c r="AW790" i="93"/>
  <c r="AR790" i="93"/>
  <c r="AM790" i="93"/>
  <c r="AG790" i="93"/>
  <c r="AB790" i="93"/>
  <c r="W790" i="93"/>
  <c r="JL790" i="93"/>
  <c r="JA790" i="93"/>
  <c r="IQ790" i="93"/>
  <c r="HU790" i="93"/>
  <c r="HK790" i="93"/>
  <c r="GZ790" i="93"/>
  <c r="GO790" i="93"/>
  <c r="GE790" i="93"/>
  <c r="FT790" i="93"/>
  <c r="FI790" i="93"/>
  <c r="EY790" i="93"/>
  <c r="EN790" i="93"/>
  <c r="EC790" i="93"/>
  <c r="DS790" i="93"/>
  <c r="DH790" i="93"/>
  <c r="CW790" i="93"/>
  <c r="CM790" i="93"/>
  <c r="CB790" i="93"/>
  <c r="BQ790" i="93"/>
  <c r="BG790" i="93"/>
  <c r="AV790" i="93"/>
  <c r="AK790" i="93"/>
  <c r="AA790" i="93"/>
  <c r="JK790" i="93"/>
  <c r="IZ790" i="93"/>
  <c r="IO790" i="93"/>
  <c r="IE790" i="93"/>
  <c r="HT790" i="93"/>
  <c r="HI790" i="93"/>
  <c r="GY790" i="93"/>
  <c r="GN790" i="93"/>
  <c r="GC790" i="93"/>
  <c r="FS790" i="93"/>
  <c r="FH790" i="93"/>
  <c r="EW790" i="93"/>
  <c r="EM790" i="93"/>
  <c r="EB790" i="93"/>
  <c r="DQ790" i="93"/>
  <c r="DG790" i="93"/>
  <c r="CV790" i="93"/>
  <c r="CK790" i="93"/>
  <c r="CA790" i="93"/>
  <c r="BP790" i="93"/>
  <c r="BE790" i="93"/>
  <c r="AU790" i="93"/>
  <c r="AJ790" i="93"/>
  <c r="Y790" i="93"/>
  <c r="JQ790" i="93"/>
  <c r="JG790" i="93"/>
  <c r="IV790" i="93"/>
  <c r="IK790" i="93"/>
  <c r="IA790" i="93"/>
  <c r="HP790" i="93"/>
  <c r="HE790" i="93"/>
  <c r="GU790" i="93"/>
  <c r="GJ790" i="93"/>
  <c r="FY790" i="93"/>
  <c r="FO790" i="93"/>
  <c r="FD790" i="93"/>
  <c r="ES790" i="93"/>
  <c r="EI790" i="93"/>
  <c r="DX790" i="93"/>
  <c r="DM790" i="93"/>
  <c r="DC790" i="93"/>
  <c r="CR790" i="93"/>
  <c r="CG790" i="93"/>
  <c r="BW790" i="93"/>
  <c r="BL790" i="93"/>
  <c r="BA790" i="93"/>
  <c r="AQ790" i="93"/>
  <c r="AF790" i="93"/>
  <c r="BK790" i="93"/>
  <c r="DA790" i="93"/>
  <c r="ER790" i="93"/>
  <c r="GI790" i="93"/>
  <c r="HY790" i="93"/>
  <c r="JP790" i="93"/>
  <c r="O307" i="72"/>
  <c r="O1861" i="93" s="1"/>
  <c r="P443" i="72"/>
  <c r="F13" i="85"/>
  <c r="D10" i="86"/>
  <c r="H10" i="86"/>
  <c r="E11" i="86"/>
  <c r="I11" i="86"/>
  <c r="F12" i="86"/>
  <c r="O12" i="86"/>
  <c r="G14" i="86"/>
  <c r="D16" i="86"/>
  <c r="H16" i="86"/>
  <c r="I31" i="86"/>
  <c r="D36" i="86"/>
  <c r="H36" i="86"/>
  <c r="F56" i="86"/>
  <c r="B1" i="87"/>
  <c r="E5" i="89"/>
  <c r="E15" i="89"/>
  <c r="F461" i="93"/>
  <c r="E471" i="93"/>
  <c r="F472" i="93"/>
  <c r="A540" i="93"/>
  <c r="IE767" i="93"/>
  <c r="X767" i="93"/>
  <c r="AB767" i="93"/>
  <c r="AF767" i="93"/>
  <c r="AJ767" i="93"/>
  <c r="AN767" i="93"/>
  <c r="AR767" i="93"/>
  <c r="AV767" i="93"/>
  <c r="AZ767" i="93"/>
  <c r="BD767" i="93"/>
  <c r="BH767" i="93"/>
  <c r="BL767" i="93"/>
  <c r="BP767" i="93"/>
  <c r="BT767" i="93"/>
  <c r="BX767" i="93"/>
  <c r="CB767" i="93"/>
  <c r="CF767" i="93"/>
  <c r="CJ767" i="93"/>
  <c r="CN767" i="93"/>
  <c r="CR767" i="93"/>
  <c r="CV767" i="93"/>
  <c r="CZ767" i="93"/>
  <c r="DD767" i="93"/>
  <c r="DH767" i="93"/>
  <c r="DL767" i="93"/>
  <c r="DP767" i="93"/>
  <c r="DT767" i="93"/>
  <c r="DX767" i="93"/>
  <c r="EB767" i="93"/>
  <c r="EF767" i="93"/>
  <c r="EJ767" i="93"/>
  <c r="EN767" i="93"/>
  <c r="ER767" i="93"/>
  <c r="EV767" i="93"/>
  <c r="EZ767" i="93"/>
  <c r="FD767" i="93"/>
  <c r="FH767" i="93"/>
  <c r="FL767" i="93"/>
  <c r="FQ767" i="93"/>
  <c r="FV767" i="93"/>
  <c r="GB767" i="93"/>
  <c r="GG767" i="93"/>
  <c r="GL767" i="93"/>
  <c r="GR767" i="93"/>
  <c r="GW767" i="93"/>
  <c r="HB767" i="93"/>
  <c r="HH767" i="93"/>
  <c r="HM767" i="93"/>
  <c r="HR767" i="93"/>
  <c r="HX767" i="93"/>
  <c r="IC767" i="93"/>
  <c r="IH767" i="93"/>
  <c r="IN767" i="93"/>
  <c r="IS767" i="93"/>
  <c r="IX767" i="93"/>
  <c r="JD767" i="93"/>
  <c r="JI767" i="93"/>
  <c r="IF768" i="93"/>
  <c r="Z768" i="93"/>
  <c r="AE768" i="93"/>
  <c r="AK768" i="93"/>
  <c r="AP768" i="93"/>
  <c r="AU768" i="93"/>
  <c r="BA768" i="93"/>
  <c r="BF768" i="93"/>
  <c r="BK768" i="93"/>
  <c r="BQ768" i="93"/>
  <c r="BV768" i="93"/>
  <c r="CA768" i="93"/>
  <c r="CG768" i="93"/>
  <c r="CL768" i="93"/>
  <c r="CQ768" i="93"/>
  <c r="CW768" i="93"/>
  <c r="DB768" i="93"/>
  <c r="DG768" i="93"/>
  <c r="DM768" i="93"/>
  <c r="DR768" i="93"/>
  <c r="DW768" i="93"/>
  <c r="EC768" i="93"/>
  <c r="EH768" i="93"/>
  <c r="EM768" i="93"/>
  <c r="ES768" i="93"/>
  <c r="EX768" i="93"/>
  <c r="FC768" i="93"/>
  <c r="FI768" i="93"/>
  <c r="FN768" i="93"/>
  <c r="FS768" i="93"/>
  <c r="FY768" i="93"/>
  <c r="GD768" i="93"/>
  <c r="GI768" i="93"/>
  <c r="GO768" i="93"/>
  <c r="GT768" i="93"/>
  <c r="GY768" i="93"/>
  <c r="HE768" i="93"/>
  <c r="HJ768" i="93"/>
  <c r="HO768" i="93"/>
  <c r="HU768" i="93"/>
  <c r="HZ768" i="93"/>
  <c r="IE768" i="93"/>
  <c r="IK768" i="93"/>
  <c r="IP768" i="93"/>
  <c r="IU768" i="93"/>
  <c r="JA768" i="93"/>
  <c r="JF768" i="93"/>
  <c r="JK768" i="93"/>
  <c r="BX769" i="93"/>
  <c r="EZ769" i="93"/>
  <c r="FF769" i="93"/>
  <c r="FK769" i="93"/>
  <c r="FP769" i="93"/>
  <c r="FV769" i="93"/>
  <c r="GA769" i="93"/>
  <c r="GF769" i="93"/>
  <c r="GL769" i="93"/>
  <c r="GQ769" i="93"/>
  <c r="GV769" i="93"/>
  <c r="HB769" i="93"/>
  <c r="HG769" i="93"/>
  <c r="HL769" i="93"/>
  <c r="HR769" i="93"/>
  <c r="HW769" i="93"/>
  <c r="IB769" i="93"/>
  <c r="JC769" i="93"/>
  <c r="JH769" i="93"/>
  <c r="JN769" i="93"/>
  <c r="IH770" i="93"/>
  <c r="ID770" i="93"/>
  <c r="Y770" i="93"/>
  <c r="AE770" i="93"/>
  <c r="AJ770" i="93"/>
  <c r="AO770" i="93"/>
  <c r="AU770" i="93"/>
  <c r="AZ770" i="93"/>
  <c r="BE770" i="93"/>
  <c r="BK770" i="93"/>
  <c r="BP770" i="93"/>
  <c r="BU770" i="93"/>
  <c r="CA770" i="93"/>
  <c r="CF770" i="93"/>
  <c r="CK770" i="93"/>
  <c r="CQ770" i="93"/>
  <c r="CV770" i="93"/>
  <c r="DA770" i="93"/>
  <c r="DG770" i="93"/>
  <c r="DL770" i="93"/>
  <c r="DQ770" i="93"/>
  <c r="DW770" i="93"/>
  <c r="EB770" i="93"/>
  <c r="EG770" i="93"/>
  <c r="EM770" i="93"/>
  <c r="ER770" i="93"/>
  <c r="EW770" i="93"/>
  <c r="FC770" i="93"/>
  <c r="FH770" i="93"/>
  <c r="FM770" i="93"/>
  <c r="FS770" i="93"/>
  <c r="FX770" i="93"/>
  <c r="GC770" i="93"/>
  <c r="GI770" i="93"/>
  <c r="GN770" i="93"/>
  <c r="GS770" i="93"/>
  <c r="GY770" i="93"/>
  <c r="HD770" i="93"/>
  <c r="HI770" i="93"/>
  <c r="HO770" i="93"/>
  <c r="HT770" i="93"/>
  <c r="HY770" i="93"/>
  <c r="IE770" i="93"/>
  <c r="IJ770" i="93"/>
  <c r="IO770" i="93"/>
  <c r="IU770" i="93"/>
  <c r="IZ770" i="93"/>
  <c r="JE770" i="93"/>
  <c r="JK770" i="93"/>
  <c r="Y771" i="93"/>
  <c r="AD771" i="93"/>
  <c r="AJ771" i="93"/>
  <c r="AO771" i="93"/>
  <c r="AT771" i="93"/>
  <c r="AZ771" i="93"/>
  <c r="BE771" i="93"/>
  <c r="BJ771" i="93"/>
  <c r="BP771" i="93"/>
  <c r="BU771" i="93"/>
  <c r="BZ771" i="93"/>
  <c r="CF771" i="93"/>
  <c r="CK771" i="93"/>
  <c r="CP771" i="93"/>
  <c r="CV771" i="93"/>
  <c r="DA771" i="93"/>
  <c r="DF771" i="93"/>
  <c r="DL771" i="93"/>
  <c r="DQ771" i="93"/>
  <c r="DV771" i="93"/>
  <c r="EB771" i="93"/>
  <c r="EG771" i="93"/>
  <c r="EL771" i="93"/>
  <c r="ER771" i="93"/>
  <c r="EW771" i="93"/>
  <c r="FB771" i="93"/>
  <c r="FH771" i="93"/>
  <c r="FM771" i="93"/>
  <c r="FR771" i="93"/>
  <c r="FX771" i="93"/>
  <c r="GC771" i="93"/>
  <c r="GH771" i="93"/>
  <c r="GN771" i="93"/>
  <c r="GS771" i="93"/>
  <c r="GX771" i="93"/>
  <c r="HD771" i="93"/>
  <c r="HI771" i="93"/>
  <c r="HN771" i="93"/>
  <c r="HT771" i="93"/>
  <c r="HY771" i="93"/>
  <c r="IJ771" i="93"/>
  <c r="IO771" i="93"/>
  <c r="IT771" i="93"/>
  <c r="IZ771" i="93"/>
  <c r="JE771" i="93"/>
  <c r="JJ771" i="93"/>
  <c r="JP771" i="93"/>
  <c r="JP772" i="93"/>
  <c r="JL772" i="93"/>
  <c r="JH772" i="93"/>
  <c r="JD772" i="93"/>
  <c r="IZ772" i="93"/>
  <c r="IV772" i="93"/>
  <c r="IR772" i="93"/>
  <c r="IN772" i="93"/>
  <c r="IJ772" i="93"/>
  <c r="IB772" i="93"/>
  <c r="HX772" i="93"/>
  <c r="HT772" i="93"/>
  <c r="HP772" i="93"/>
  <c r="HL772" i="93"/>
  <c r="HH772" i="93"/>
  <c r="HD772" i="93"/>
  <c r="GZ772" i="93"/>
  <c r="GV772" i="93"/>
  <c r="GR772" i="93"/>
  <c r="GN772" i="93"/>
  <c r="GJ772" i="93"/>
  <c r="GF772" i="93"/>
  <c r="GB772" i="93"/>
  <c r="FX772" i="93"/>
  <c r="FT772" i="93"/>
  <c r="FP772" i="93"/>
  <c r="FL772" i="93"/>
  <c r="FH772" i="93"/>
  <c r="FD772" i="93"/>
  <c r="EZ772" i="93"/>
  <c r="EV772" i="93"/>
  <c r="ER772" i="93"/>
  <c r="EN772" i="93"/>
  <c r="EJ772" i="93"/>
  <c r="EF772" i="93"/>
  <c r="EB772" i="93"/>
  <c r="DX772" i="93"/>
  <c r="DT772" i="93"/>
  <c r="DP772" i="93"/>
  <c r="DL772" i="93"/>
  <c r="DH772" i="93"/>
  <c r="DD772" i="93"/>
  <c r="CZ772" i="93"/>
  <c r="CV772" i="93"/>
  <c r="CR772" i="93"/>
  <c r="CN772" i="93"/>
  <c r="CJ772" i="93"/>
  <c r="CF772" i="93"/>
  <c r="CB772" i="93"/>
  <c r="BX772" i="93"/>
  <c r="BT772" i="93"/>
  <c r="BP772" i="93"/>
  <c r="BL772" i="93"/>
  <c r="BH772" i="93"/>
  <c r="BD772" i="93"/>
  <c r="AZ772" i="93"/>
  <c r="AV772" i="93"/>
  <c r="AR772" i="93"/>
  <c r="AN772" i="93"/>
  <c r="AJ772" i="93"/>
  <c r="AF772" i="93"/>
  <c r="AB772" i="93"/>
  <c r="X772" i="93"/>
  <c r="AA772" i="93"/>
  <c r="AG772" i="93"/>
  <c r="AL772" i="93"/>
  <c r="AQ772" i="93"/>
  <c r="AW772" i="93"/>
  <c r="BB772" i="93"/>
  <c r="BG772" i="93"/>
  <c r="BM772" i="93"/>
  <c r="BR772" i="93"/>
  <c r="BW772" i="93"/>
  <c r="CC772" i="93"/>
  <c r="CH772" i="93"/>
  <c r="CM772" i="93"/>
  <c r="CS772" i="93"/>
  <c r="CX772" i="93"/>
  <c r="DC772" i="93"/>
  <c r="DI772" i="93"/>
  <c r="DN772" i="93"/>
  <c r="DS772" i="93"/>
  <c r="DY772" i="93"/>
  <c r="ED772" i="93"/>
  <c r="EI772" i="93"/>
  <c r="EO772" i="93"/>
  <c r="ET772" i="93"/>
  <c r="EY772" i="93"/>
  <c r="FE772" i="93"/>
  <c r="FJ772" i="93"/>
  <c r="FO772" i="93"/>
  <c r="FU772" i="93"/>
  <c r="FZ772" i="93"/>
  <c r="GE772" i="93"/>
  <c r="GK772" i="93"/>
  <c r="GP772" i="93"/>
  <c r="GU772" i="93"/>
  <c r="HA772" i="93"/>
  <c r="HF772" i="93"/>
  <c r="HK772" i="93"/>
  <c r="HQ772" i="93"/>
  <c r="HV772" i="93"/>
  <c r="IA772" i="93"/>
  <c r="IG772" i="93"/>
  <c r="IL772" i="93"/>
  <c r="IQ772" i="93"/>
  <c r="IW772" i="93"/>
  <c r="JB772" i="93"/>
  <c r="JG772" i="93"/>
  <c r="JM772" i="93"/>
  <c r="A773" i="93"/>
  <c r="X773" i="93"/>
  <c r="AD773" i="93"/>
  <c r="AI773" i="93"/>
  <c r="AN773" i="93"/>
  <c r="AT773" i="93"/>
  <c r="AY773" i="93"/>
  <c r="BD773" i="93"/>
  <c r="BJ773" i="93"/>
  <c r="BO773" i="93"/>
  <c r="BT773" i="93"/>
  <c r="BZ773" i="93"/>
  <c r="CE773" i="93"/>
  <c r="CJ773" i="93"/>
  <c r="CP773" i="93"/>
  <c r="CU773" i="93"/>
  <c r="CZ773" i="93"/>
  <c r="DF773" i="93"/>
  <c r="DK773" i="93"/>
  <c r="DP773" i="93"/>
  <c r="DV773" i="93"/>
  <c r="EA773" i="93"/>
  <c r="EF773" i="93"/>
  <c r="EL773" i="93"/>
  <c r="EQ773" i="93"/>
  <c r="EV773" i="93"/>
  <c r="FB773" i="93"/>
  <c r="FG773" i="93"/>
  <c r="FL773" i="93"/>
  <c r="FR773" i="93"/>
  <c r="FW773" i="93"/>
  <c r="GB773" i="93"/>
  <c r="GH773" i="93"/>
  <c r="GM773" i="93"/>
  <c r="GR773" i="93"/>
  <c r="GX773" i="93"/>
  <c r="HC773" i="93"/>
  <c r="HH773" i="93"/>
  <c r="HN773" i="93"/>
  <c r="HS773" i="93"/>
  <c r="ID773" i="93"/>
  <c r="II773" i="93"/>
  <c r="IN773" i="93"/>
  <c r="IT773" i="93"/>
  <c r="JD773" i="93"/>
  <c r="JJ773" i="93"/>
  <c r="JN774" i="93"/>
  <c r="JJ774" i="93"/>
  <c r="JF774" i="93"/>
  <c r="JB774" i="93"/>
  <c r="IX774" i="93"/>
  <c r="IT774" i="93"/>
  <c r="IP774" i="93"/>
  <c r="IL774" i="93"/>
  <c r="HZ774" i="93"/>
  <c r="HV774" i="93"/>
  <c r="HR774" i="93"/>
  <c r="HN774" i="93"/>
  <c r="HJ774" i="93"/>
  <c r="HF774" i="93"/>
  <c r="HB774" i="93"/>
  <c r="GX774" i="93"/>
  <c r="GT774" i="93"/>
  <c r="GP774" i="93"/>
  <c r="GL774" i="93"/>
  <c r="GH774" i="93"/>
  <c r="GD774" i="93"/>
  <c r="FZ774" i="93"/>
  <c r="FV774" i="93"/>
  <c r="FR774" i="93"/>
  <c r="FN774" i="93"/>
  <c r="FJ774" i="93"/>
  <c r="FF774" i="93"/>
  <c r="FB774" i="93"/>
  <c r="EX774" i="93"/>
  <c r="ET774" i="93"/>
  <c r="EP774" i="93"/>
  <c r="EL774" i="93"/>
  <c r="EH774" i="93"/>
  <c r="ED774" i="93"/>
  <c r="DZ774" i="93"/>
  <c r="DV774" i="93"/>
  <c r="DR774" i="93"/>
  <c r="DN774" i="93"/>
  <c r="DJ774" i="93"/>
  <c r="DF774" i="93"/>
  <c r="DB774" i="93"/>
  <c r="CX774" i="93"/>
  <c r="CT774" i="93"/>
  <c r="CP774" i="93"/>
  <c r="CL774" i="93"/>
  <c r="CH774" i="93"/>
  <c r="CD774" i="93"/>
  <c r="BZ774" i="93"/>
  <c r="BV774" i="93"/>
  <c r="BR774" i="93"/>
  <c r="BN774" i="93"/>
  <c r="BJ774" i="93"/>
  <c r="BF774" i="93"/>
  <c r="BB774" i="93"/>
  <c r="AX774" i="93"/>
  <c r="AT774" i="93"/>
  <c r="AP774" i="93"/>
  <c r="AL774" i="93"/>
  <c r="AH774" i="93"/>
  <c r="AD774" i="93"/>
  <c r="Z774" i="93"/>
  <c r="JQ774" i="93"/>
  <c r="AA774" i="93"/>
  <c r="AF774" i="93"/>
  <c r="AK774" i="93"/>
  <c r="AQ774" i="93"/>
  <c r="AV774" i="93"/>
  <c r="BA774" i="93"/>
  <c r="BG774" i="93"/>
  <c r="BL774" i="93"/>
  <c r="BQ774" i="93"/>
  <c r="BW774" i="93"/>
  <c r="CB774" i="93"/>
  <c r="CG774" i="93"/>
  <c r="CM774" i="93"/>
  <c r="CR774" i="93"/>
  <c r="CW774" i="93"/>
  <c r="DC774" i="93"/>
  <c r="DH774" i="93"/>
  <c r="DM774" i="93"/>
  <c r="DS774" i="93"/>
  <c r="DX774" i="93"/>
  <c r="EC774" i="93"/>
  <c r="EI774" i="93"/>
  <c r="EN774" i="93"/>
  <c r="ES774" i="93"/>
  <c r="EY774" i="93"/>
  <c r="FD774" i="93"/>
  <c r="FI774" i="93"/>
  <c r="FO774" i="93"/>
  <c r="FT774" i="93"/>
  <c r="FY774" i="93"/>
  <c r="GE774" i="93"/>
  <c r="GJ774" i="93"/>
  <c r="GO774" i="93"/>
  <c r="GU774" i="93"/>
  <c r="GZ774" i="93"/>
  <c r="HE774" i="93"/>
  <c r="HK774" i="93"/>
  <c r="HP774" i="93"/>
  <c r="HU774" i="93"/>
  <c r="IA774" i="93"/>
  <c r="IF774" i="93"/>
  <c r="IK774" i="93"/>
  <c r="IQ774" i="93"/>
  <c r="IV774" i="93"/>
  <c r="JA774" i="93"/>
  <c r="JG774" i="93"/>
  <c r="JL774" i="93"/>
  <c r="IE775" i="93"/>
  <c r="A775" i="93"/>
  <c r="IH775" i="93"/>
  <c r="ID775" i="93"/>
  <c r="X775" i="93"/>
  <c r="AF775" i="93"/>
  <c r="AN775" i="93"/>
  <c r="AV775" i="93"/>
  <c r="BD775" i="93"/>
  <c r="BL775" i="93"/>
  <c r="BT775" i="93"/>
  <c r="CB775" i="93"/>
  <c r="CJ775" i="93"/>
  <c r="CR775" i="93"/>
  <c r="CZ775" i="93"/>
  <c r="DH775" i="93"/>
  <c r="DP775" i="93"/>
  <c r="DX775" i="93"/>
  <c r="EF775" i="93"/>
  <c r="EN775" i="93"/>
  <c r="EV775" i="93"/>
  <c r="FD775" i="93"/>
  <c r="FL775" i="93"/>
  <c r="FT775" i="93"/>
  <c r="GB775" i="93"/>
  <c r="GJ775" i="93"/>
  <c r="GR775" i="93"/>
  <c r="GZ775" i="93"/>
  <c r="HH775" i="93"/>
  <c r="HP775" i="93"/>
  <c r="HX775" i="93"/>
  <c r="IF775" i="93"/>
  <c r="IN775" i="93"/>
  <c r="IV775" i="93"/>
  <c r="JD775" i="93"/>
  <c r="IF776" i="93"/>
  <c r="Y776" i="93"/>
  <c r="AG776" i="93"/>
  <c r="AO776" i="93"/>
  <c r="AW776" i="93"/>
  <c r="BE776" i="93"/>
  <c r="BM776" i="93"/>
  <c r="BU776" i="93"/>
  <c r="CC776" i="93"/>
  <c r="CK776" i="93"/>
  <c r="CS776" i="93"/>
  <c r="DA776" i="93"/>
  <c r="DI776" i="93"/>
  <c r="DQ776" i="93"/>
  <c r="DY776" i="93"/>
  <c r="EG776" i="93"/>
  <c r="EO776" i="93"/>
  <c r="EW776" i="93"/>
  <c r="FE776" i="93"/>
  <c r="FM776" i="93"/>
  <c r="FU776" i="93"/>
  <c r="GC776" i="93"/>
  <c r="GK776" i="93"/>
  <c r="GS776" i="93"/>
  <c r="HA776" i="93"/>
  <c r="HI776" i="93"/>
  <c r="HQ776" i="93"/>
  <c r="HY776" i="93"/>
  <c r="IG776" i="93"/>
  <c r="IO776" i="93"/>
  <c r="IW776" i="93"/>
  <c r="JE776" i="93"/>
  <c r="IG777" i="93"/>
  <c r="CV777" i="93"/>
  <c r="FB777" i="93"/>
  <c r="FJ777" i="93"/>
  <c r="FR777" i="93"/>
  <c r="FZ777" i="93"/>
  <c r="GH777" i="93"/>
  <c r="GP777" i="93"/>
  <c r="GX777" i="93"/>
  <c r="HF777" i="93"/>
  <c r="HN777" i="93"/>
  <c r="HV777" i="93"/>
  <c r="JJ777" i="93"/>
  <c r="A778" i="93"/>
  <c r="L778" i="93"/>
  <c r="AA778" i="93"/>
  <c r="AI778" i="93"/>
  <c r="AQ778" i="93"/>
  <c r="AY778" i="93"/>
  <c r="BG778" i="93"/>
  <c r="BO778" i="93"/>
  <c r="CE778" i="93"/>
  <c r="CM778" i="93"/>
  <c r="CU778" i="93"/>
  <c r="DK778" i="93"/>
  <c r="DS778" i="93"/>
  <c r="EA778" i="93"/>
  <c r="EI778" i="93"/>
  <c r="EQ778" i="93"/>
  <c r="EY778" i="93"/>
  <c r="FG778" i="93"/>
  <c r="FO778" i="93"/>
  <c r="FW778" i="93"/>
  <c r="GE778" i="93"/>
  <c r="GM778" i="93"/>
  <c r="GU778" i="93"/>
  <c r="HC778" i="93"/>
  <c r="HK778" i="93"/>
  <c r="HS778" i="93"/>
  <c r="IA778" i="93"/>
  <c r="II778" i="93"/>
  <c r="IQ778" i="93"/>
  <c r="JG778" i="93"/>
  <c r="JO778" i="93"/>
  <c r="AB779" i="93"/>
  <c r="AJ779" i="93"/>
  <c r="AR779" i="93"/>
  <c r="AZ779" i="93"/>
  <c r="BH779" i="93"/>
  <c r="BP779" i="93"/>
  <c r="BX779" i="93"/>
  <c r="CF779" i="93"/>
  <c r="CN779" i="93"/>
  <c r="CV779" i="93"/>
  <c r="DD779" i="93"/>
  <c r="DL779" i="93"/>
  <c r="DT779" i="93"/>
  <c r="EB779" i="93"/>
  <c r="EJ779" i="93"/>
  <c r="ER779" i="93"/>
  <c r="EZ779" i="93"/>
  <c r="FH779" i="93"/>
  <c r="FP779" i="93"/>
  <c r="FX779" i="93"/>
  <c r="GF779" i="93"/>
  <c r="GN779" i="93"/>
  <c r="GV779" i="93"/>
  <c r="HD779" i="93"/>
  <c r="HL779" i="93"/>
  <c r="HT779" i="93"/>
  <c r="IB779" i="93"/>
  <c r="IJ779" i="93"/>
  <c r="IR779" i="93"/>
  <c r="JD779" i="93"/>
  <c r="IF780" i="93"/>
  <c r="AC780" i="93"/>
  <c r="AS780" i="93"/>
  <c r="BI780" i="93"/>
  <c r="BY780" i="93"/>
  <c r="CO780" i="93"/>
  <c r="DE780" i="93"/>
  <c r="DU780" i="93"/>
  <c r="EK780" i="93"/>
  <c r="FA780" i="93"/>
  <c r="FQ780" i="93"/>
  <c r="GG780" i="93"/>
  <c r="GW780" i="93"/>
  <c r="HM780" i="93"/>
  <c r="IC780" i="93"/>
  <c r="IS780" i="93"/>
  <c r="JQ781" i="93"/>
  <c r="FB781" i="93"/>
  <c r="FR781" i="93"/>
  <c r="GH781" i="93"/>
  <c r="GX781" i="93"/>
  <c r="HN781" i="93"/>
  <c r="JA782" i="93"/>
  <c r="IU782" i="93"/>
  <c r="IP782" i="93"/>
  <c r="IK782" i="93"/>
  <c r="IE782" i="93"/>
  <c r="ES782" i="93"/>
  <c r="EM782" i="93"/>
  <c r="EH782" i="93"/>
  <c r="EC782" i="93"/>
  <c r="DW782" i="93"/>
  <c r="DR782" i="93"/>
  <c r="DM782" i="93"/>
  <c r="DG782" i="93"/>
  <c r="DB782" i="93"/>
  <c r="CW782" i="93"/>
  <c r="CQ782" i="93"/>
  <c r="CL782" i="93"/>
  <c r="CG782" i="93"/>
  <c r="CA782" i="93"/>
  <c r="BV782" i="93"/>
  <c r="BQ782" i="93"/>
  <c r="BK782" i="93"/>
  <c r="BF782" i="93"/>
  <c r="BA782" i="93"/>
  <c r="AU782" i="93"/>
  <c r="AP782" i="93"/>
  <c r="AK782" i="93"/>
  <c r="AE782" i="93"/>
  <c r="Z782" i="93"/>
  <c r="AD782" i="93"/>
  <c r="AY782" i="93"/>
  <c r="BU782" i="93"/>
  <c r="CP782" i="93"/>
  <c r="DK782" i="93"/>
  <c r="EG782" i="93"/>
  <c r="II782" i="93"/>
  <c r="EZ785" i="93"/>
  <c r="GF785" i="93"/>
  <c r="CZ787" i="93"/>
  <c r="BX787" i="93"/>
  <c r="IU787" i="93"/>
  <c r="IM787" i="93"/>
  <c r="IE787" i="93"/>
  <c r="EU787" i="93"/>
  <c r="EM787" i="93"/>
  <c r="EE787" i="93"/>
  <c r="DW787" i="93"/>
  <c r="DO787" i="93"/>
  <c r="DG787" i="93"/>
  <c r="CY787" i="93"/>
  <c r="CQ787" i="93"/>
  <c r="CI787" i="93"/>
  <c r="CA787" i="93"/>
  <c r="BS787" i="93"/>
  <c r="BK787" i="93"/>
  <c r="BC787" i="93"/>
  <c r="AU787" i="93"/>
  <c r="AM787" i="93"/>
  <c r="AE787" i="93"/>
  <c r="W787" i="93"/>
  <c r="JB787" i="93"/>
  <c r="IT787" i="93"/>
  <c r="IL787" i="93"/>
  <c r="ID787" i="93"/>
  <c r="ET787" i="93"/>
  <c r="EL787" i="93"/>
  <c r="ED787" i="93"/>
  <c r="DV787" i="93"/>
  <c r="DN787" i="93"/>
  <c r="DF787" i="93"/>
  <c r="CX787" i="93"/>
  <c r="CP787" i="93"/>
  <c r="CH787" i="93"/>
  <c r="BZ787" i="93"/>
  <c r="BR787" i="93"/>
  <c r="BJ787" i="93"/>
  <c r="BB787" i="93"/>
  <c r="AT787" i="93"/>
  <c r="AL787" i="93"/>
  <c r="AD787" i="93"/>
  <c r="IY787" i="93"/>
  <c r="IQ787" i="93"/>
  <c r="II787" i="93"/>
  <c r="EQ787" i="93"/>
  <c r="EI787" i="93"/>
  <c r="EA787" i="93"/>
  <c r="DS787" i="93"/>
  <c r="DK787" i="93"/>
  <c r="DC787" i="93"/>
  <c r="CU787" i="93"/>
  <c r="CM787" i="93"/>
  <c r="CE787" i="93"/>
  <c r="BW787" i="93"/>
  <c r="BO787" i="93"/>
  <c r="BG787" i="93"/>
  <c r="AY787" i="93"/>
  <c r="AQ787" i="93"/>
  <c r="AI787" i="93"/>
  <c r="AA787" i="93"/>
  <c r="AH787" i="93"/>
  <c r="BN787" i="93"/>
  <c r="CT787" i="93"/>
  <c r="DZ787" i="93"/>
  <c r="IP787" i="93"/>
  <c r="BX788" i="93"/>
  <c r="JA788" i="93"/>
  <c r="IQ788" i="93"/>
  <c r="II788" i="93"/>
  <c r="EQ788" i="93"/>
  <c r="EI788" i="93"/>
  <c r="EA788" i="93"/>
  <c r="DS788" i="93"/>
  <c r="DK788" i="93"/>
  <c r="DC788" i="93"/>
  <c r="CU788" i="93"/>
  <c r="CM788" i="93"/>
  <c r="CE788" i="93"/>
  <c r="BW788" i="93"/>
  <c r="BO788" i="93"/>
  <c r="BG788" i="93"/>
  <c r="AY788" i="93"/>
  <c r="AQ788" i="93"/>
  <c r="AI788" i="93"/>
  <c r="AA788" i="93"/>
  <c r="A788" i="93"/>
  <c r="IW788" i="93"/>
  <c r="IN788" i="93"/>
  <c r="IF788" i="93"/>
  <c r="EV788" i="93"/>
  <c r="EN788" i="93"/>
  <c r="EF788" i="93"/>
  <c r="DX788" i="93"/>
  <c r="DP788" i="93"/>
  <c r="DH788" i="93"/>
  <c r="CZ788" i="93"/>
  <c r="CR788" i="93"/>
  <c r="CJ788" i="93"/>
  <c r="CB788" i="93"/>
  <c r="BT788" i="93"/>
  <c r="BL788" i="93"/>
  <c r="BD788" i="93"/>
  <c r="AV788" i="93"/>
  <c r="AN788" i="93"/>
  <c r="AF788" i="93"/>
  <c r="X788" i="93"/>
  <c r="AE788" i="93"/>
  <c r="BK788" i="93"/>
  <c r="CQ788" i="93"/>
  <c r="DW788" i="93"/>
  <c r="IU788" i="93"/>
  <c r="IA789" i="93"/>
  <c r="HV789" i="93"/>
  <c r="HP789" i="93"/>
  <c r="HK789" i="93"/>
  <c r="HF789" i="93"/>
  <c r="GZ789" i="93"/>
  <c r="GU789" i="93"/>
  <c r="GP789" i="93"/>
  <c r="GJ789" i="93"/>
  <c r="GE789" i="93"/>
  <c r="FZ789" i="93"/>
  <c r="FT789" i="93"/>
  <c r="FO789" i="93"/>
  <c r="FJ789" i="93"/>
  <c r="FD789" i="93"/>
  <c r="EY789" i="93"/>
  <c r="HZ789" i="93"/>
  <c r="HT789" i="93"/>
  <c r="HO789" i="93"/>
  <c r="HJ789" i="93"/>
  <c r="HD789" i="93"/>
  <c r="GY789" i="93"/>
  <c r="GT789" i="93"/>
  <c r="GN789" i="93"/>
  <c r="GI789" i="93"/>
  <c r="GD789" i="93"/>
  <c r="FX789" i="93"/>
  <c r="FS789" i="93"/>
  <c r="FN789" i="93"/>
  <c r="FH789" i="93"/>
  <c r="FC789" i="93"/>
  <c r="EX789" i="93"/>
  <c r="IB789" i="93"/>
  <c r="HR789" i="93"/>
  <c r="HG789" i="93"/>
  <c r="GV789" i="93"/>
  <c r="GL789" i="93"/>
  <c r="GA789" i="93"/>
  <c r="FP789" i="93"/>
  <c r="FF789" i="93"/>
  <c r="HX789" i="93"/>
  <c r="HN789" i="93"/>
  <c r="HC789" i="93"/>
  <c r="GR789" i="93"/>
  <c r="GH789" i="93"/>
  <c r="FW789" i="93"/>
  <c r="FL789" i="93"/>
  <c r="FB789" i="93"/>
  <c r="HW789" i="93"/>
  <c r="HL789" i="93"/>
  <c r="HB789" i="93"/>
  <c r="GQ789" i="93"/>
  <c r="GF789" i="93"/>
  <c r="FV789" i="93"/>
  <c r="FK789" i="93"/>
  <c r="EZ789" i="93"/>
  <c r="FR789" i="93"/>
  <c r="HH789" i="93"/>
  <c r="AE790" i="93"/>
  <c r="BU790" i="93"/>
  <c r="DL790" i="93"/>
  <c r="FC790" i="93"/>
  <c r="GS790" i="93"/>
  <c r="IJ790" i="93"/>
  <c r="A47" i="84"/>
  <c r="E10" i="86"/>
  <c r="I10" i="86"/>
  <c r="F11" i="86"/>
  <c r="G12" i="86"/>
  <c r="E16" i="86"/>
  <c r="I16" i="86"/>
  <c r="E30" i="86"/>
  <c r="F31" i="86"/>
  <c r="C34" i="86"/>
  <c r="E36" i="86"/>
  <c r="I36" i="86"/>
  <c r="C50" i="86"/>
  <c r="G50" i="86"/>
  <c r="E51" i="86"/>
  <c r="C52" i="86"/>
  <c r="G52" i="86"/>
  <c r="C56" i="86"/>
  <c r="JO767" i="93"/>
  <c r="JK767" i="93"/>
  <c r="JG767" i="93"/>
  <c r="JC767" i="93"/>
  <c r="IY767" i="93"/>
  <c r="IU767" i="93"/>
  <c r="IQ767" i="93"/>
  <c r="IM767" i="93"/>
  <c r="II767" i="93"/>
  <c r="IA767" i="93"/>
  <c r="HW767" i="93"/>
  <c r="HS767" i="93"/>
  <c r="HO767" i="93"/>
  <c r="HK767" i="93"/>
  <c r="HG767" i="93"/>
  <c r="HC767" i="93"/>
  <c r="GY767" i="93"/>
  <c r="GU767" i="93"/>
  <c r="GQ767" i="93"/>
  <c r="GM767" i="93"/>
  <c r="GI767" i="93"/>
  <c r="GE767" i="93"/>
  <c r="GA767" i="93"/>
  <c r="FW767" i="93"/>
  <c r="FS767" i="93"/>
  <c r="FO767" i="93"/>
  <c r="Y767" i="93"/>
  <c r="AC767" i="93"/>
  <c r="AG767" i="93"/>
  <c r="AK767" i="93"/>
  <c r="AO767" i="93"/>
  <c r="AS767" i="93"/>
  <c r="AW767" i="93"/>
  <c r="BA767" i="93"/>
  <c r="BE767" i="93"/>
  <c r="BI767" i="93"/>
  <c r="BM767" i="93"/>
  <c r="BQ767" i="93"/>
  <c r="BU767" i="93"/>
  <c r="BY767" i="93"/>
  <c r="CC767" i="93"/>
  <c r="CG767" i="93"/>
  <c r="CK767" i="93"/>
  <c r="CO767" i="93"/>
  <c r="CS767" i="93"/>
  <c r="CW767" i="93"/>
  <c r="DA767" i="93"/>
  <c r="DE767" i="93"/>
  <c r="DI767" i="93"/>
  <c r="DM767" i="93"/>
  <c r="DQ767" i="93"/>
  <c r="DU767" i="93"/>
  <c r="DY767" i="93"/>
  <c r="EC767" i="93"/>
  <c r="EG767" i="93"/>
  <c r="EK767" i="93"/>
  <c r="EO767" i="93"/>
  <c r="ES767" i="93"/>
  <c r="EW767" i="93"/>
  <c r="FA767" i="93"/>
  <c r="FE767" i="93"/>
  <c r="FI767" i="93"/>
  <c r="FM767" i="93"/>
  <c r="FR767" i="93"/>
  <c r="FX767" i="93"/>
  <c r="GC767" i="93"/>
  <c r="GH767" i="93"/>
  <c r="GN767" i="93"/>
  <c r="GS767" i="93"/>
  <c r="GX767" i="93"/>
  <c r="HD767" i="93"/>
  <c r="HI767" i="93"/>
  <c r="HN767" i="93"/>
  <c r="HT767" i="93"/>
  <c r="HY767" i="93"/>
  <c r="ID767" i="93"/>
  <c r="IJ767" i="93"/>
  <c r="IO767" i="93"/>
  <c r="IT767" i="93"/>
  <c r="IZ767" i="93"/>
  <c r="JE767" i="93"/>
  <c r="JJ767" i="93"/>
  <c r="JP767" i="93"/>
  <c r="JP768" i="93"/>
  <c r="JL768" i="93"/>
  <c r="JH768" i="93"/>
  <c r="JD768" i="93"/>
  <c r="IZ768" i="93"/>
  <c r="IV768" i="93"/>
  <c r="IR768" i="93"/>
  <c r="IN768" i="93"/>
  <c r="IJ768" i="93"/>
  <c r="IB768" i="93"/>
  <c r="HX768" i="93"/>
  <c r="HT768" i="93"/>
  <c r="HP768" i="93"/>
  <c r="HL768" i="93"/>
  <c r="HH768" i="93"/>
  <c r="HD768" i="93"/>
  <c r="GZ768" i="93"/>
  <c r="GV768" i="93"/>
  <c r="GR768" i="93"/>
  <c r="GN768" i="93"/>
  <c r="GJ768" i="93"/>
  <c r="GF768" i="93"/>
  <c r="GB768" i="93"/>
  <c r="FX768" i="93"/>
  <c r="FT768" i="93"/>
  <c r="FP768" i="93"/>
  <c r="FL768" i="93"/>
  <c r="FH768" i="93"/>
  <c r="FD768" i="93"/>
  <c r="EZ768" i="93"/>
  <c r="EV768" i="93"/>
  <c r="ER768" i="93"/>
  <c r="EN768" i="93"/>
  <c r="EJ768" i="93"/>
  <c r="EF768" i="93"/>
  <c r="EB768" i="93"/>
  <c r="DX768" i="93"/>
  <c r="DT768" i="93"/>
  <c r="DP768" i="93"/>
  <c r="DL768" i="93"/>
  <c r="DH768" i="93"/>
  <c r="DD768" i="93"/>
  <c r="CZ768" i="93"/>
  <c r="CV768" i="93"/>
  <c r="CR768" i="93"/>
  <c r="CN768" i="93"/>
  <c r="CJ768" i="93"/>
  <c r="CF768" i="93"/>
  <c r="CB768" i="93"/>
  <c r="BX768" i="93"/>
  <c r="BT768" i="93"/>
  <c r="BP768" i="93"/>
  <c r="BL768" i="93"/>
  <c r="BH768" i="93"/>
  <c r="BD768" i="93"/>
  <c r="AZ768" i="93"/>
  <c r="AV768" i="93"/>
  <c r="AR768" i="93"/>
  <c r="AN768" i="93"/>
  <c r="AJ768" i="93"/>
  <c r="AF768" i="93"/>
  <c r="AB768" i="93"/>
  <c r="X768" i="93"/>
  <c r="AA768" i="93"/>
  <c r="AG768" i="93"/>
  <c r="AL768" i="93"/>
  <c r="AQ768" i="93"/>
  <c r="AW768" i="93"/>
  <c r="BB768" i="93"/>
  <c r="BG768" i="93"/>
  <c r="BM768" i="93"/>
  <c r="BR768" i="93"/>
  <c r="BW768" i="93"/>
  <c r="CC768" i="93"/>
  <c r="CH768" i="93"/>
  <c r="CM768" i="93"/>
  <c r="CS768" i="93"/>
  <c r="CX768" i="93"/>
  <c r="DC768" i="93"/>
  <c r="DI768" i="93"/>
  <c r="DN768" i="93"/>
  <c r="DS768" i="93"/>
  <c r="DY768" i="93"/>
  <c r="ED768" i="93"/>
  <c r="EI768" i="93"/>
  <c r="EO768" i="93"/>
  <c r="ET768" i="93"/>
  <c r="EY768" i="93"/>
  <c r="FE768" i="93"/>
  <c r="FJ768" i="93"/>
  <c r="FO768" i="93"/>
  <c r="FU768" i="93"/>
  <c r="FZ768" i="93"/>
  <c r="GE768" i="93"/>
  <c r="GK768" i="93"/>
  <c r="GP768" i="93"/>
  <c r="GU768" i="93"/>
  <c r="HA768" i="93"/>
  <c r="HF768" i="93"/>
  <c r="HK768" i="93"/>
  <c r="HQ768" i="93"/>
  <c r="HV768" i="93"/>
  <c r="IA768" i="93"/>
  <c r="IG768" i="93"/>
  <c r="IL768" i="93"/>
  <c r="IQ768" i="93"/>
  <c r="IW768" i="93"/>
  <c r="JB768" i="93"/>
  <c r="JG768" i="93"/>
  <c r="JM768" i="93"/>
  <c r="FB769" i="93"/>
  <c r="FG769" i="93"/>
  <c r="FL769" i="93"/>
  <c r="FR769" i="93"/>
  <c r="FW769" i="93"/>
  <c r="GB769" i="93"/>
  <c r="GH769" i="93"/>
  <c r="GM769" i="93"/>
  <c r="GR769" i="93"/>
  <c r="GX769" i="93"/>
  <c r="HC769" i="93"/>
  <c r="HH769" i="93"/>
  <c r="HN769" i="93"/>
  <c r="HS769" i="93"/>
  <c r="JD769" i="93"/>
  <c r="JJ769" i="93"/>
  <c r="JN770" i="93"/>
  <c r="JJ770" i="93"/>
  <c r="JF770" i="93"/>
  <c r="JB770" i="93"/>
  <c r="IX770" i="93"/>
  <c r="IT770" i="93"/>
  <c r="IP770" i="93"/>
  <c r="IL770" i="93"/>
  <c r="HZ770" i="93"/>
  <c r="HV770" i="93"/>
  <c r="HR770" i="93"/>
  <c r="HN770" i="93"/>
  <c r="HJ770" i="93"/>
  <c r="HF770" i="93"/>
  <c r="HB770" i="93"/>
  <c r="GX770" i="93"/>
  <c r="GT770" i="93"/>
  <c r="GP770" i="93"/>
  <c r="GL770" i="93"/>
  <c r="GH770" i="93"/>
  <c r="GD770" i="93"/>
  <c r="FZ770" i="93"/>
  <c r="FV770" i="93"/>
  <c r="FR770" i="93"/>
  <c r="FN770" i="93"/>
  <c r="FJ770" i="93"/>
  <c r="FF770" i="93"/>
  <c r="FB770" i="93"/>
  <c r="EX770" i="93"/>
  <c r="ET770" i="93"/>
  <c r="EP770" i="93"/>
  <c r="EL770" i="93"/>
  <c r="EH770" i="93"/>
  <c r="ED770" i="93"/>
  <c r="DZ770" i="93"/>
  <c r="DV770" i="93"/>
  <c r="DR770" i="93"/>
  <c r="DN770" i="93"/>
  <c r="DJ770" i="93"/>
  <c r="DF770" i="93"/>
  <c r="DB770" i="93"/>
  <c r="CX770" i="93"/>
  <c r="CT770" i="93"/>
  <c r="CP770" i="93"/>
  <c r="CL770" i="93"/>
  <c r="CH770" i="93"/>
  <c r="CD770" i="93"/>
  <c r="BZ770" i="93"/>
  <c r="BV770" i="93"/>
  <c r="BR770" i="93"/>
  <c r="BN770" i="93"/>
  <c r="BJ770" i="93"/>
  <c r="BF770" i="93"/>
  <c r="BB770" i="93"/>
  <c r="AX770" i="93"/>
  <c r="AT770" i="93"/>
  <c r="AP770" i="93"/>
  <c r="AL770" i="93"/>
  <c r="AH770" i="93"/>
  <c r="AD770" i="93"/>
  <c r="Z770" i="93"/>
  <c r="AA770" i="93"/>
  <c r="AF770" i="93"/>
  <c r="AK770" i="93"/>
  <c r="AQ770" i="93"/>
  <c r="AV770" i="93"/>
  <c r="BA770" i="93"/>
  <c r="BG770" i="93"/>
  <c r="BL770" i="93"/>
  <c r="BQ770" i="93"/>
  <c r="BW770" i="93"/>
  <c r="CB770" i="93"/>
  <c r="CG770" i="93"/>
  <c r="CM770" i="93"/>
  <c r="CR770" i="93"/>
  <c r="CW770" i="93"/>
  <c r="DC770" i="93"/>
  <c r="DH770" i="93"/>
  <c r="DM770" i="93"/>
  <c r="DS770" i="93"/>
  <c r="DX770" i="93"/>
  <c r="EC770" i="93"/>
  <c r="EI770" i="93"/>
  <c r="EN770" i="93"/>
  <c r="ES770" i="93"/>
  <c r="EY770" i="93"/>
  <c r="FD770" i="93"/>
  <c r="FI770" i="93"/>
  <c r="FO770" i="93"/>
  <c r="FT770" i="93"/>
  <c r="FY770" i="93"/>
  <c r="GE770" i="93"/>
  <c r="GJ770" i="93"/>
  <c r="GO770" i="93"/>
  <c r="GU770" i="93"/>
  <c r="GZ770" i="93"/>
  <c r="HE770" i="93"/>
  <c r="HK770" i="93"/>
  <c r="HP770" i="93"/>
  <c r="HU770" i="93"/>
  <c r="IA770" i="93"/>
  <c r="IF770" i="93"/>
  <c r="IK770" i="93"/>
  <c r="IQ770" i="93"/>
  <c r="IV770" i="93"/>
  <c r="JA770" i="93"/>
  <c r="JG770" i="93"/>
  <c r="JL770" i="93"/>
  <c r="JQ770" i="93"/>
  <c r="Z771" i="93"/>
  <c r="AF771" i="93"/>
  <c r="AK771" i="93"/>
  <c r="AP771" i="93"/>
  <c r="AV771" i="93"/>
  <c r="BA771" i="93"/>
  <c r="BF771" i="93"/>
  <c r="BL771" i="93"/>
  <c r="BQ771" i="93"/>
  <c r="BV771" i="93"/>
  <c r="CB771" i="93"/>
  <c r="CG771" i="93"/>
  <c r="CL771" i="93"/>
  <c r="CR771" i="93"/>
  <c r="CW771" i="93"/>
  <c r="DB771" i="93"/>
  <c r="DH771" i="93"/>
  <c r="DM771" i="93"/>
  <c r="DR771" i="93"/>
  <c r="DX771" i="93"/>
  <c r="EC771" i="93"/>
  <c r="EH771" i="93"/>
  <c r="EN771" i="93"/>
  <c r="ES771" i="93"/>
  <c r="EX771" i="93"/>
  <c r="FD771" i="93"/>
  <c r="FI771" i="93"/>
  <c r="FN771" i="93"/>
  <c r="FT771" i="93"/>
  <c r="FY771" i="93"/>
  <c r="GD771" i="93"/>
  <c r="GJ771" i="93"/>
  <c r="GO771" i="93"/>
  <c r="GT771" i="93"/>
  <c r="GZ771" i="93"/>
  <c r="HE771" i="93"/>
  <c r="HJ771" i="93"/>
  <c r="HP771" i="93"/>
  <c r="HU771" i="93"/>
  <c r="HZ771" i="93"/>
  <c r="IK771" i="93"/>
  <c r="IP771" i="93"/>
  <c r="IV771" i="93"/>
  <c r="JA771" i="93"/>
  <c r="JF771" i="93"/>
  <c r="JL771" i="93"/>
  <c r="JQ771" i="93"/>
  <c r="FF772" i="93"/>
  <c r="FK772" i="93"/>
  <c r="FQ772" i="93"/>
  <c r="FV772" i="93"/>
  <c r="GA772" i="93"/>
  <c r="GG772" i="93"/>
  <c r="GL772" i="93"/>
  <c r="GQ772" i="93"/>
  <c r="GW772" i="93"/>
  <c r="HB772" i="93"/>
  <c r="HG772" i="93"/>
  <c r="HM772" i="93"/>
  <c r="HR772" i="93"/>
  <c r="HW772" i="93"/>
  <c r="IG773" i="93"/>
  <c r="Z773" i="93"/>
  <c r="AE773" i="93"/>
  <c r="AJ773" i="93"/>
  <c r="AP773" i="93"/>
  <c r="AU773" i="93"/>
  <c r="AZ773" i="93"/>
  <c r="BF773" i="93"/>
  <c r="BK773" i="93"/>
  <c r="BP773" i="93"/>
  <c r="BV773" i="93"/>
  <c r="CA773" i="93"/>
  <c r="CF773" i="93"/>
  <c r="CL773" i="93"/>
  <c r="CQ773" i="93"/>
  <c r="DG773" i="93"/>
  <c r="DL773" i="93"/>
  <c r="DR773" i="93"/>
  <c r="DW773" i="93"/>
  <c r="EB773" i="93"/>
  <c r="EH773" i="93"/>
  <c r="EM773" i="93"/>
  <c r="ER773" i="93"/>
  <c r="IE773" i="93"/>
  <c r="IJ773" i="93"/>
  <c r="IP773" i="93"/>
  <c r="IU773" i="93"/>
  <c r="IZ773" i="93"/>
  <c r="W774" i="93"/>
  <c r="AB774" i="93"/>
  <c r="AG774" i="93"/>
  <c r="AM774" i="93"/>
  <c r="AR774" i="93"/>
  <c r="AW774" i="93"/>
  <c r="BC774" i="93"/>
  <c r="BH774" i="93"/>
  <c r="BM774" i="93"/>
  <c r="BX774" i="93"/>
  <c r="CC774" i="93"/>
  <c r="CI774" i="93"/>
  <c r="CN774" i="93"/>
  <c r="CS774" i="93"/>
  <c r="DD774" i="93"/>
  <c r="DI774" i="93"/>
  <c r="DO774" i="93"/>
  <c r="DT774" i="93"/>
  <c r="DY774" i="93"/>
  <c r="EE774" i="93"/>
  <c r="EJ774" i="93"/>
  <c r="EO774" i="93"/>
  <c r="EU774" i="93"/>
  <c r="IG774" i="93"/>
  <c r="IM774" i="93"/>
  <c r="IR774" i="93"/>
  <c r="JO775" i="93"/>
  <c r="JK775" i="93"/>
  <c r="JG775" i="93"/>
  <c r="JC775" i="93"/>
  <c r="IY775" i="93"/>
  <c r="IU775" i="93"/>
  <c r="IQ775" i="93"/>
  <c r="IM775" i="93"/>
  <c r="II775" i="93"/>
  <c r="IA775" i="93"/>
  <c r="HW775" i="93"/>
  <c r="HS775" i="93"/>
  <c r="HO775" i="93"/>
  <c r="HK775" i="93"/>
  <c r="HG775" i="93"/>
  <c r="HC775" i="93"/>
  <c r="GY775" i="93"/>
  <c r="GU775" i="93"/>
  <c r="GQ775" i="93"/>
  <c r="GM775" i="93"/>
  <c r="GI775" i="93"/>
  <c r="GE775" i="93"/>
  <c r="GA775" i="93"/>
  <c r="FW775" i="93"/>
  <c r="FS775" i="93"/>
  <c r="FO775" i="93"/>
  <c r="FK775" i="93"/>
  <c r="FG775" i="93"/>
  <c r="FC775" i="93"/>
  <c r="EY775" i="93"/>
  <c r="EU775" i="93"/>
  <c r="EQ775" i="93"/>
  <c r="EM775" i="93"/>
  <c r="EI775" i="93"/>
  <c r="EE775" i="93"/>
  <c r="EA775" i="93"/>
  <c r="DW775" i="93"/>
  <c r="DS775" i="93"/>
  <c r="DO775" i="93"/>
  <c r="DK775" i="93"/>
  <c r="DG775" i="93"/>
  <c r="DC775" i="93"/>
  <c r="CY775" i="93"/>
  <c r="CU775" i="93"/>
  <c r="CQ775" i="93"/>
  <c r="CM775" i="93"/>
  <c r="CI775" i="93"/>
  <c r="CE775" i="93"/>
  <c r="CA775" i="93"/>
  <c r="BW775" i="93"/>
  <c r="BS775" i="93"/>
  <c r="BO775" i="93"/>
  <c r="BK775" i="93"/>
  <c r="BG775" i="93"/>
  <c r="BC775" i="93"/>
  <c r="AY775" i="93"/>
  <c r="AU775" i="93"/>
  <c r="AQ775" i="93"/>
  <c r="AM775" i="93"/>
  <c r="AI775" i="93"/>
  <c r="AE775" i="93"/>
  <c r="AA775" i="93"/>
  <c r="W775" i="93"/>
  <c r="JN775" i="93"/>
  <c r="JJ775" i="93"/>
  <c r="JF775" i="93"/>
  <c r="JB775" i="93"/>
  <c r="IX775" i="93"/>
  <c r="IT775" i="93"/>
  <c r="IP775" i="93"/>
  <c r="IL775" i="93"/>
  <c r="HZ775" i="93"/>
  <c r="HV775" i="93"/>
  <c r="HR775" i="93"/>
  <c r="HN775" i="93"/>
  <c r="HJ775" i="93"/>
  <c r="HF775" i="93"/>
  <c r="HB775" i="93"/>
  <c r="GX775" i="93"/>
  <c r="GT775" i="93"/>
  <c r="GP775" i="93"/>
  <c r="GL775" i="93"/>
  <c r="GH775" i="93"/>
  <c r="GD775" i="93"/>
  <c r="FZ775" i="93"/>
  <c r="FV775" i="93"/>
  <c r="FR775" i="93"/>
  <c r="FN775" i="93"/>
  <c r="FJ775" i="93"/>
  <c r="FF775" i="93"/>
  <c r="FB775" i="93"/>
  <c r="EX775" i="93"/>
  <c r="ET775" i="93"/>
  <c r="EP775" i="93"/>
  <c r="EL775" i="93"/>
  <c r="EH775" i="93"/>
  <c r="ED775" i="93"/>
  <c r="DZ775" i="93"/>
  <c r="DV775" i="93"/>
  <c r="DR775" i="93"/>
  <c r="DN775" i="93"/>
  <c r="DJ775" i="93"/>
  <c r="DF775" i="93"/>
  <c r="DB775" i="93"/>
  <c r="CX775" i="93"/>
  <c r="CT775" i="93"/>
  <c r="CP775" i="93"/>
  <c r="CL775" i="93"/>
  <c r="CH775" i="93"/>
  <c r="CD775" i="93"/>
  <c r="BZ775" i="93"/>
  <c r="BV775" i="93"/>
  <c r="BR775" i="93"/>
  <c r="BN775" i="93"/>
  <c r="BJ775" i="93"/>
  <c r="BF775" i="93"/>
  <c r="BB775" i="93"/>
  <c r="AX775" i="93"/>
  <c r="AT775" i="93"/>
  <c r="AP775" i="93"/>
  <c r="AL775" i="93"/>
  <c r="AH775" i="93"/>
  <c r="AD775" i="93"/>
  <c r="Z775" i="93"/>
  <c r="Y775" i="93"/>
  <c r="AG775" i="93"/>
  <c r="AO775" i="93"/>
  <c r="AW775" i="93"/>
  <c r="BE775" i="93"/>
  <c r="BM775" i="93"/>
  <c r="BU775" i="93"/>
  <c r="CC775" i="93"/>
  <c r="CK775" i="93"/>
  <c r="CS775" i="93"/>
  <c r="DA775" i="93"/>
  <c r="DI775" i="93"/>
  <c r="DQ775" i="93"/>
  <c r="DY775" i="93"/>
  <c r="EG775" i="93"/>
  <c r="EO775" i="93"/>
  <c r="EW775" i="93"/>
  <c r="FE775" i="93"/>
  <c r="FM775" i="93"/>
  <c r="FU775" i="93"/>
  <c r="GC775" i="93"/>
  <c r="GK775" i="93"/>
  <c r="GS775" i="93"/>
  <c r="HA775" i="93"/>
  <c r="HI775" i="93"/>
  <c r="HQ775" i="93"/>
  <c r="HY775" i="93"/>
  <c r="IG775" i="93"/>
  <c r="IO775" i="93"/>
  <c r="IW775" i="93"/>
  <c r="JE775" i="93"/>
  <c r="JM775" i="93"/>
  <c r="JP776" i="93"/>
  <c r="JL776" i="93"/>
  <c r="JH776" i="93"/>
  <c r="JD776" i="93"/>
  <c r="IZ776" i="93"/>
  <c r="IV776" i="93"/>
  <c r="IR776" i="93"/>
  <c r="IN776" i="93"/>
  <c r="IJ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V776" i="93"/>
  <c r="ER776" i="93"/>
  <c r="EN776" i="93"/>
  <c r="EJ776" i="93"/>
  <c r="EF776" i="93"/>
  <c r="EB776" i="93"/>
  <c r="DX776" i="93"/>
  <c r="DT776" i="93"/>
  <c r="DP776" i="93"/>
  <c r="DL776" i="93"/>
  <c r="DH776" i="93"/>
  <c r="DD776" i="93"/>
  <c r="CZ776" i="93"/>
  <c r="CV776" i="93"/>
  <c r="CR776" i="93"/>
  <c r="CN776" i="93"/>
  <c r="CJ776" i="93"/>
  <c r="CF776" i="93"/>
  <c r="CB776" i="93"/>
  <c r="BX776" i="93"/>
  <c r="BT776" i="93"/>
  <c r="BP776" i="93"/>
  <c r="BL776" i="93"/>
  <c r="BH776" i="93"/>
  <c r="BD776" i="93"/>
  <c r="AZ776" i="93"/>
  <c r="AV776" i="93"/>
  <c r="AR776" i="93"/>
  <c r="AN776" i="93"/>
  <c r="AJ776" i="93"/>
  <c r="AF776" i="93"/>
  <c r="AB776" i="93"/>
  <c r="X776" i="93"/>
  <c r="JO776" i="93"/>
  <c r="JK776" i="93"/>
  <c r="JG776" i="93"/>
  <c r="JC776" i="93"/>
  <c r="IY776" i="93"/>
  <c r="IU776" i="93"/>
  <c r="IQ776" i="93"/>
  <c r="IM776" i="93"/>
  <c r="II776" i="93"/>
  <c r="IE776" i="93"/>
  <c r="IA776" i="93"/>
  <c r="HW776" i="93"/>
  <c r="HS776" i="93"/>
  <c r="HO776" i="93"/>
  <c r="HK776" i="93"/>
  <c r="HG776" i="93"/>
  <c r="HC776" i="93"/>
  <c r="GY776" i="93"/>
  <c r="GU776" i="93"/>
  <c r="GQ776" i="93"/>
  <c r="GM776" i="93"/>
  <c r="GI776" i="93"/>
  <c r="GE776" i="93"/>
  <c r="GA776" i="93"/>
  <c r="FW776" i="93"/>
  <c r="FS776" i="93"/>
  <c r="FO776" i="93"/>
  <c r="FK776" i="93"/>
  <c r="FG776" i="93"/>
  <c r="FC776" i="93"/>
  <c r="EY776" i="93"/>
  <c r="EU776" i="93"/>
  <c r="EQ776" i="93"/>
  <c r="EM776" i="93"/>
  <c r="EI776" i="93"/>
  <c r="EE776" i="93"/>
  <c r="EA776" i="93"/>
  <c r="DW776" i="93"/>
  <c r="DS776" i="93"/>
  <c r="DO776" i="93"/>
  <c r="DK776" i="93"/>
  <c r="DG776" i="93"/>
  <c r="DC776" i="93"/>
  <c r="CY776" i="93"/>
  <c r="CU776" i="93"/>
  <c r="CQ776" i="93"/>
  <c r="CM776" i="93"/>
  <c r="CI776" i="93"/>
  <c r="CE776" i="93"/>
  <c r="CA776" i="93"/>
  <c r="BW776" i="93"/>
  <c r="BS776" i="93"/>
  <c r="BO776" i="93"/>
  <c r="BK776" i="93"/>
  <c r="BG776" i="93"/>
  <c r="BC776" i="93"/>
  <c r="AY776" i="93"/>
  <c r="AU776" i="93"/>
  <c r="AQ776" i="93"/>
  <c r="AM776" i="93"/>
  <c r="AI776" i="93"/>
  <c r="AE776" i="93"/>
  <c r="AA776" i="93"/>
  <c r="W776" i="93"/>
  <c r="A776" i="93"/>
  <c r="Z776" i="93"/>
  <c r="AH776" i="93"/>
  <c r="AP776" i="93"/>
  <c r="AX776" i="93"/>
  <c r="BF776" i="93"/>
  <c r="BN776" i="93"/>
  <c r="BV776" i="93"/>
  <c r="CD776" i="93"/>
  <c r="CL776" i="93"/>
  <c r="CT776" i="93"/>
  <c r="DB776" i="93"/>
  <c r="DJ776" i="93"/>
  <c r="DR776" i="93"/>
  <c r="DZ776" i="93"/>
  <c r="EH776" i="93"/>
  <c r="EP776" i="93"/>
  <c r="EX776" i="93"/>
  <c r="FF776" i="93"/>
  <c r="FN776" i="93"/>
  <c r="FV776" i="93"/>
  <c r="GD776" i="93"/>
  <c r="GL776" i="93"/>
  <c r="GT776" i="93"/>
  <c r="HB776" i="93"/>
  <c r="HJ776" i="93"/>
  <c r="HR776" i="93"/>
  <c r="HZ776" i="93"/>
  <c r="IH776" i="93"/>
  <c r="IP776" i="93"/>
  <c r="IX776" i="93"/>
  <c r="JF776" i="93"/>
  <c r="JN776" i="93"/>
  <c r="JQ777" i="93"/>
  <c r="L777" i="93"/>
  <c r="FC777" i="93"/>
  <c r="FK777" i="93"/>
  <c r="FS777" i="93"/>
  <c r="GA777" i="93"/>
  <c r="GI777" i="93"/>
  <c r="GQ777" i="93"/>
  <c r="GY777" i="93"/>
  <c r="HG777" i="93"/>
  <c r="HO777" i="93"/>
  <c r="JC777" i="93"/>
  <c r="JK777" i="93"/>
  <c r="IH778" i="93"/>
  <c r="ID778" i="93"/>
  <c r="IG778" i="93"/>
  <c r="AB778" i="93"/>
  <c r="AJ778" i="93"/>
  <c r="AR778" i="93"/>
  <c r="AZ778" i="93"/>
  <c r="BH778" i="93"/>
  <c r="BP778" i="93"/>
  <c r="CF778" i="93"/>
  <c r="CN778" i="93"/>
  <c r="DD778" i="93"/>
  <c r="DL778" i="93"/>
  <c r="DT778" i="93"/>
  <c r="EB778" i="93"/>
  <c r="EJ778" i="93"/>
  <c r="ER778" i="93"/>
  <c r="EZ778" i="93"/>
  <c r="FH778" i="93"/>
  <c r="FP778" i="93"/>
  <c r="FX778" i="93"/>
  <c r="GF778" i="93"/>
  <c r="GN778" i="93"/>
  <c r="GV778" i="93"/>
  <c r="HD778" i="93"/>
  <c r="HL778" i="93"/>
  <c r="HT778" i="93"/>
  <c r="IB778" i="93"/>
  <c r="IJ778" i="93"/>
  <c r="IR778" i="93"/>
  <c r="IZ778" i="93"/>
  <c r="JH778" i="93"/>
  <c r="AC779" i="93"/>
  <c r="AK779" i="93"/>
  <c r="AS779" i="93"/>
  <c r="BA779" i="93"/>
  <c r="BI779" i="93"/>
  <c r="BQ779" i="93"/>
  <c r="BY779" i="93"/>
  <c r="CG779" i="93"/>
  <c r="CO779" i="93"/>
  <c r="CW779" i="93"/>
  <c r="DE779" i="93"/>
  <c r="DM779" i="93"/>
  <c r="DU779" i="93"/>
  <c r="EC779" i="93"/>
  <c r="EK779" i="93"/>
  <c r="ES779" i="93"/>
  <c r="FA779" i="93"/>
  <c r="FI779" i="93"/>
  <c r="FQ779" i="93"/>
  <c r="FY779" i="93"/>
  <c r="GG779" i="93"/>
  <c r="GO779" i="93"/>
  <c r="GW779" i="93"/>
  <c r="HE779" i="93"/>
  <c r="HM779" i="93"/>
  <c r="HU779" i="93"/>
  <c r="IC779" i="93"/>
  <c r="IK779" i="93"/>
  <c r="IS779" i="93"/>
  <c r="JH779" i="93"/>
  <c r="JP780" i="93"/>
  <c r="JL780" i="93"/>
  <c r="JH780" i="93"/>
  <c r="JD780" i="93"/>
  <c r="IZ780" i="93"/>
  <c r="IV780" i="93"/>
  <c r="IR780" i="93"/>
  <c r="IN780" i="93"/>
  <c r="IJ780" i="93"/>
  <c r="IB780" i="93"/>
  <c r="HX780" i="93"/>
  <c r="HT780" i="93"/>
  <c r="HP780" i="93"/>
  <c r="HL780" i="93"/>
  <c r="HH780" i="93"/>
  <c r="HD780" i="93"/>
  <c r="GZ780" i="93"/>
  <c r="GV780" i="93"/>
  <c r="GR780" i="93"/>
  <c r="GN780" i="93"/>
  <c r="GJ780" i="93"/>
  <c r="GF780" i="93"/>
  <c r="GB780" i="93"/>
  <c r="FX780" i="93"/>
  <c r="FT780" i="93"/>
  <c r="FP780" i="93"/>
  <c r="FL780" i="93"/>
  <c r="FH780" i="93"/>
  <c r="FD780" i="93"/>
  <c r="EZ780" i="93"/>
  <c r="EV780" i="93"/>
  <c r="ER780" i="93"/>
  <c r="EN780" i="93"/>
  <c r="EJ780" i="93"/>
  <c r="EF780" i="93"/>
  <c r="EB780" i="93"/>
  <c r="DX780" i="93"/>
  <c r="DT780" i="93"/>
  <c r="DP780" i="93"/>
  <c r="DL780" i="93"/>
  <c r="DH780" i="93"/>
  <c r="DD780" i="93"/>
  <c r="CZ780" i="93"/>
  <c r="CV780" i="93"/>
  <c r="CR780" i="93"/>
  <c r="CN780" i="93"/>
  <c r="CJ780" i="93"/>
  <c r="CF780" i="93"/>
  <c r="CB780" i="93"/>
  <c r="BX780" i="93"/>
  <c r="BT780" i="93"/>
  <c r="BP780" i="93"/>
  <c r="BL780" i="93"/>
  <c r="BH780" i="93"/>
  <c r="BD780" i="93"/>
  <c r="AZ780" i="93"/>
  <c r="AV780" i="93"/>
  <c r="AR780" i="93"/>
  <c r="AN780" i="93"/>
  <c r="AJ780" i="93"/>
  <c r="AF780" i="93"/>
  <c r="AB780" i="93"/>
  <c r="X780" i="93"/>
  <c r="JO780" i="93"/>
  <c r="JK780" i="93"/>
  <c r="JG780" i="93"/>
  <c r="JC780" i="93"/>
  <c r="IY780" i="93"/>
  <c r="IU780" i="93"/>
  <c r="IQ780" i="93"/>
  <c r="IM780" i="93"/>
  <c r="II780" i="93"/>
  <c r="IE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EU780" i="93"/>
  <c r="EQ780" i="93"/>
  <c r="EM780" i="93"/>
  <c r="EI780" i="93"/>
  <c r="EE780" i="93"/>
  <c r="EA780" i="93"/>
  <c r="DW780" i="93"/>
  <c r="DS780" i="93"/>
  <c r="DO780" i="93"/>
  <c r="DK780" i="93"/>
  <c r="DG780" i="93"/>
  <c r="DC780" i="93"/>
  <c r="CY780" i="93"/>
  <c r="CU780" i="93"/>
  <c r="CQ780" i="93"/>
  <c r="CM780" i="93"/>
  <c r="CI780" i="93"/>
  <c r="CE780" i="93"/>
  <c r="CA780" i="93"/>
  <c r="BW780" i="93"/>
  <c r="BS780" i="93"/>
  <c r="BO780" i="93"/>
  <c r="BK780" i="93"/>
  <c r="BG780" i="93"/>
  <c r="BC780" i="93"/>
  <c r="AY780" i="93"/>
  <c r="AU780" i="93"/>
  <c r="AQ780" i="93"/>
  <c r="AM780" i="93"/>
  <c r="AI780" i="93"/>
  <c r="AE780" i="93"/>
  <c r="AA780" i="93"/>
  <c r="W780" i="93"/>
  <c r="A780" i="93"/>
  <c r="JN780" i="93"/>
  <c r="JJ780" i="93"/>
  <c r="JF780" i="93"/>
  <c r="JB780" i="93"/>
  <c r="IX780" i="93"/>
  <c r="IT780" i="93"/>
  <c r="IP780" i="93"/>
  <c r="IL780" i="93"/>
  <c r="IH780" i="93"/>
  <c r="ID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ET780" i="93"/>
  <c r="EP780" i="93"/>
  <c r="EL780" i="93"/>
  <c r="EH780" i="93"/>
  <c r="ED780" i="93"/>
  <c r="DZ780" i="93"/>
  <c r="DV780" i="93"/>
  <c r="DR780" i="93"/>
  <c r="DN780" i="93"/>
  <c r="DJ780" i="93"/>
  <c r="DF780" i="93"/>
  <c r="DB780" i="93"/>
  <c r="CX780" i="93"/>
  <c r="CT780" i="93"/>
  <c r="CP780" i="93"/>
  <c r="CL780" i="93"/>
  <c r="CH780" i="93"/>
  <c r="CD780" i="93"/>
  <c r="BZ780" i="93"/>
  <c r="BV780" i="93"/>
  <c r="BR780" i="93"/>
  <c r="BN780" i="93"/>
  <c r="BJ780" i="93"/>
  <c r="BF780" i="93"/>
  <c r="BB780" i="93"/>
  <c r="AX780" i="93"/>
  <c r="AT780" i="93"/>
  <c r="AP780" i="93"/>
  <c r="AL780" i="93"/>
  <c r="AH780" i="93"/>
  <c r="AD780" i="93"/>
  <c r="Z780" i="93"/>
  <c r="AG780" i="93"/>
  <c r="AW780" i="93"/>
  <c r="BM780" i="93"/>
  <c r="CC780" i="93"/>
  <c r="CS780" i="93"/>
  <c r="DI780" i="93"/>
  <c r="DY780" i="93"/>
  <c r="EO780" i="93"/>
  <c r="FE780" i="93"/>
  <c r="FU780" i="93"/>
  <c r="GK780" i="93"/>
  <c r="HA780" i="93"/>
  <c r="HQ780" i="93"/>
  <c r="IG780" i="93"/>
  <c r="IW780" i="93"/>
  <c r="JM780" i="93"/>
  <c r="A781" i="93"/>
  <c r="K781" i="93"/>
  <c r="L781" i="93" s="1"/>
  <c r="IB781" i="93"/>
  <c r="FF781" i="93"/>
  <c r="FV781" i="93"/>
  <c r="GL781" i="93"/>
  <c r="HB781" i="93"/>
  <c r="HR781" i="93"/>
  <c r="JN781" i="93"/>
  <c r="JL785" i="93"/>
  <c r="JD785" i="93"/>
  <c r="HX785" i="93"/>
  <c r="HP785" i="93"/>
  <c r="HH785" i="93"/>
  <c r="GZ785" i="93"/>
  <c r="GR785" i="93"/>
  <c r="GJ785" i="93"/>
  <c r="GB785" i="93"/>
  <c r="FT785" i="93"/>
  <c r="FL785" i="93"/>
  <c r="FD785" i="93"/>
  <c r="JQ785" i="93"/>
  <c r="JI785" i="93"/>
  <c r="IC785" i="93"/>
  <c r="HU785" i="93"/>
  <c r="HM785" i="93"/>
  <c r="HE785" i="93"/>
  <c r="GW785" i="93"/>
  <c r="GO785" i="93"/>
  <c r="GG785" i="93"/>
  <c r="FY785" i="93"/>
  <c r="FQ785" i="93"/>
  <c r="FI785" i="93"/>
  <c r="FA785" i="93"/>
  <c r="FH785" i="93"/>
  <c r="GN785" i="93"/>
  <c r="HT785" i="93"/>
  <c r="K789" i="93"/>
  <c r="L789" i="93" s="1"/>
  <c r="GB789" i="93"/>
  <c r="HS789" i="93"/>
  <c r="JJ789" i="93"/>
  <c r="AO790" i="93"/>
  <c r="CF790" i="93"/>
  <c r="DW790" i="93"/>
  <c r="FM790" i="93"/>
  <c r="HD790" i="93"/>
  <c r="IU790" i="93"/>
  <c r="K792" i="93"/>
  <c r="L792" i="93" s="1"/>
  <c r="W781" i="93"/>
  <c r="AA781" i="93"/>
  <c r="AE781" i="93"/>
  <c r="AI781" i="93"/>
  <c r="AM781" i="93"/>
  <c r="AQ781" i="93"/>
  <c r="AU781" i="93"/>
  <c r="AY781" i="93"/>
  <c r="BC781" i="93"/>
  <c r="BG781" i="93"/>
  <c r="BK781" i="93"/>
  <c r="BO781" i="93"/>
  <c r="BS781" i="93"/>
  <c r="BW781" i="93"/>
  <c r="CA781" i="93"/>
  <c r="CE781" i="93"/>
  <c r="CI781" i="93"/>
  <c r="CM781" i="93"/>
  <c r="CQ781" i="93"/>
  <c r="CU781" i="93"/>
  <c r="CY781" i="93"/>
  <c r="DC781" i="93"/>
  <c r="DG781" i="93"/>
  <c r="DK781" i="93"/>
  <c r="DO781" i="93"/>
  <c r="DS781" i="93"/>
  <c r="DW781" i="93"/>
  <c r="EA781" i="93"/>
  <c r="EE781" i="93"/>
  <c r="EI781" i="93"/>
  <c r="EM781" i="93"/>
  <c r="EQ781" i="93"/>
  <c r="EU781" i="93"/>
  <c r="IE781" i="93"/>
  <c r="II781" i="93"/>
  <c r="IM781" i="93"/>
  <c r="IQ781" i="93"/>
  <c r="IU781" i="93"/>
  <c r="IY781" i="93"/>
  <c r="JC781" i="93"/>
  <c r="JG781" i="93"/>
  <c r="JK781" i="93"/>
  <c r="JO781" i="93"/>
  <c r="IF782" i="93"/>
  <c r="FC783" i="93"/>
  <c r="FK783" i="93"/>
  <c r="FS783" i="93"/>
  <c r="GA783" i="93"/>
  <c r="GI783" i="93"/>
  <c r="GQ783" i="93"/>
  <c r="GY783" i="93"/>
  <c r="HG783" i="93"/>
  <c r="HO783" i="93"/>
  <c r="HW783" i="93"/>
  <c r="JC783" i="93"/>
  <c r="IH784" i="93"/>
  <c r="ID784" i="93"/>
  <c r="IG784" i="93"/>
  <c r="AB784" i="93"/>
  <c r="AJ784" i="93"/>
  <c r="AR784" i="93"/>
  <c r="AZ784" i="93"/>
  <c r="BH784" i="93"/>
  <c r="BP784" i="93"/>
  <c r="CF784" i="93"/>
  <c r="CN784" i="93"/>
  <c r="CV784" i="93"/>
  <c r="DD784" i="93"/>
  <c r="DL784" i="93"/>
  <c r="DT784" i="93"/>
  <c r="EB784" i="93"/>
  <c r="EJ784" i="93"/>
  <c r="ER784" i="93"/>
  <c r="IJ784" i="93"/>
  <c r="IR784" i="93"/>
  <c r="IZ784" i="93"/>
  <c r="AS785" i="93"/>
  <c r="BA785" i="93"/>
  <c r="BI785" i="93"/>
  <c r="BQ785" i="93"/>
  <c r="CW785" i="93"/>
  <c r="DE785" i="93"/>
  <c r="DM785" i="93"/>
  <c r="DU785" i="93"/>
  <c r="EC785" i="93"/>
  <c r="EK785" i="93"/>
  <c r="ES785" i="93"/>
  <c r="IS785" i="93"/>
  <c r="JA785" i="93"/>
  <c r="DF786" i="93"/>
  <c r="DN786" i="93"/>
  <c r="DV786" i="93"/>
  <c r="ED786" i="93"/>
  <c r="EL786" i="93"/>
  <c r="ET786" i="93"/>
  <c r="IT786" i="93"/>
  <c r="JB786" i="93"/>
  <c r="JJ786" i="93"/>
  <c r="JG787" i="93"/>
  <c r="JO787" i="93"/>
  <c r="FD788" i="93"/>
  <c r="FL788" i="93"/>
  <c r="FT788" i="93"/>
  <c r="GB788" i="93"/>
  <c r="GJ788" i="93"/>
  <c r="GR788" i="93"/>
  <c r="GZ788" i="93"/>
  <c r="HH788" i="93"/>
  <c r="HP788" i="93"/>
  <c r="HX788" i="93"/>
  <c r="JG788" i="93"/>
  <c r="JL789" i="93"/>
  <c r="JG789" i="93"/>
  <c r="JP789" i="93"/>
  <c r="JK789" i="93"/>
  <c r="JF789" i="93"/>
  <c r="JC789" i="93"/>
  <c r="JN789" i="93"/>
  <c r="CX791" i="93"/>
  <c r="BR791" i="93"/>
  <c r="BM791" i="93"/>
  <c r="BH791" i="93"/>
  <c r="BB791" i="93"/>
  <c r="AW791" i="93"/>
  <c r="AR791" i="93"/>
  <c r="CW791" i="93"/>
  <c r="AT791" i="93"/>
  <c r="BE791" i="93"/>
  <c r="BP791" i="93"/>
  <c r="HV793" i="93"/>
  <c r="HN793" i="93"/>
  <c r="HF793" i="93"/>
  <c r="GX793" i="93"/>
  <c r="GP793" i="93"/>
  <c r="GH793" i="93"/>
  <c r="FZ793" i="93"/>
  <c r="FR793" i="93"/>
  <c r="FJ793" i="93"/>
  <c r="FB793" i="93"/>
  <c r="IA793" i="93"/>
  <c r="HS793" i="93"/>
  <c r="HK793" i="93"/>
  <c r="HC793" i="93"/>
  <c r="GU793" i="93"/>
  <c r="GM793" i="93"/>
  <c r="GE793" i="93"/>
  <c r="FW793" i="93"/>
  <c r="FO793" i="93"/>
  <c r="FG793" i="93"/>
  <c r="JN793" i="93"/>
  <c r="JF793" i="93"/>
  <c r="HZ793" i="93"/>
  <c r="HR793" i="93"/>
  <c r="HJ793" i="93"/>
  <c r="HB793" i="93"/>
  <c r="GT793" i="93"/>
  <c r="GL793" i="93"/>
  <c r="GD793" i="93"/>
  <c r="FV793" i="93"/>
  <c r="FN793" i="93"/>
  <c r="FF793" i="93"/>
  <c r="FS793" i="93"/>
  <c r="GY793" i="93"/>
  <c r="CU794" i="93"/>
  <c r="BO794" i="93"/>
  <c r="BG794" i="93"/>
  <c r="AY794" i="93"/>
  <c r="AQ794" i="93"/>
  <c r="BT794" i="93"/>
  <c r="BL794" i="93"/>
  <c r="BD794" i="93"/>
  <c r="AV794" i="93"/>
  <c r="BS794" i="93"/>
  <c r="BK794" i="93"/>
  <c r="BC794" i="93"/>
  <c r="AU794" i="93"/>
  <c r="BP794" i="93"/>
  <c r="CV794" i="93"/>
  <c r="JA796" i="93"/>
  <c r="EK796" i="93"/>
  <c r="DU796" i="93"/>
  <c r="DE796" i="93"/>
  <c r="EG796" i="93"/>
  <c r="IU797" i="93"/>
  <c r="IM797" i="93"/>
  <c r="IE797" i="93"/>
  <c r="EU797" i="93"/>
  <c r="EM797" i="93"/>
  <c r="EE797" i="93"/>
  <c r="DW797" i="93"/>
  <c r="DO797" i="93"/>
  <c r="DG797" i="93"/>
  <c r="CY797" i="93"/>
  <c r="CQ797" i="93"/>
  <c r="CI797" i="93"/>
  <c r="CA797" i="93"/>
  <c r="BS797" i="93"/>
  <c r="BK797" i="93"/>
  <c r="BC797" i="93"/>
  <c r="AU797" i="93"/>
  <c r="AM797" i="93"/>
  <c r="AE797" i="93"/>
  <c r="W797" i="93"/>
  <c r="JB797" i="93"/>
  <c r="IT797" i="93"/>
  <c r="IL797" i="93"/>
  <c r="ID797" i="93"/>
  <c r="ET797" i="93"/>
  <c r="EL797" i="93"/>
  <c r="ED797" i="93"/>
  <c r="DV797" i="93"/>
  <c r="DN797" i="93"/>
  <c r="DF797" i="93"/>
  <c r="CX797" i="93"/>
  <c r="CP797" i="93"/>
  <c r="CH797" i="93"/>
  <c r="BZ797" i="93"/>
  <c r="BR797" i="93"/>
  <c r="BJ797" i="93"/>
  <c r="BB797" i="93"/>
  <c r="AT797" i="93"/>
  <c r="AL797" i="93"/>
  <c r="AD797" i="93"/>
  <c r="IY797" i="93"/>
  <c r="IQ797" i="93"/>
  <c r="II797" i="93"/>
  <c r="EQ797" i="93"/>
  <c r="EI797" i="93"/>
  <c r="EA797" i="93"/>
  <c r="DS797" i="93"/>
  <c r="DK797" i="93"/>
  <c r="DC797" i="93"/>
  <c r="CU797" i="93"/>
  <c r="CM797" i="93"/>
  <c r="CE797" i="93"/>
  <c r="BW797" i="93"/>
  <c r="BO797" i="93"/>
  <c r="BG797" i="93"/>
  <c r="AY797" i="93"/>
  <c r="AQ797" i="93"/>
  <c r="AI797" i="93"/>
  <c r="AA797" i="93"/>
  <c r="IH797" i="93"/>
  <c r="DR797" i="93"/>
  <c r="CL797" i="93"/>
  <c r="BF797" i="93"/>
  <c r="Z797" i="93"/>
  <c r="EP797" i="93"/>
  <c r="DJ797" i="93"/>
  <c r="CD797" i="93"/>
  <c r="AX797" i="93"/>
  <c r="IX797" i="93"/>
  <c r="EH797" i="93"/>
  <c r="DB797" i="93"/>
  <c r="BV797" i="93"/>
  <c r="AP797" i="93"/>
  <c r="BN797" i="93"/>
  <c r="DW798" i="93"/>
  <c r="X777" i="93"/>
  <c r="AB777" i="93"/>
  <c r="AF777" i="93"/>
  <c r="AJ777" i="93"/>
  <c r="AN777" i="93"/>
  <c r="AR777" i="93"/>
  <c r="AV777" i="93"/>
  <c r="AZ777" i="93"/>
  <c r="BD777" i="93"/>
  <c r="BH777" i="93"/>
  <c r="BL777" i="93"/>
  <c r="BP777" i="93"/>
  <c r="BT777" i="93"/>
  <c r="CB777" i="93"/>
  <c r="CF777" i="93"/>
  <c r="CJ777" i="93"/>
  <c r="CN777" i="93"/>
  <c r="CR777" i="93"/>
  <c r="DD777" i="93"/>
  <c r="DH777" i="93"/>
  <c r="DL777" i="93"/>
  <c r="DP777" i="93"/>
  <c r="DT777" i="93"/>
  <c r="DX777" i="93"/>
  <c r="EB777" i="93"/>
  <c r="EF777" i="93"/>
  <c r="EJ777" i="93"/>
  <c r="EN777" i="93"/>
  <c r="ER777" i="93"/>
  <c r="EV777" i="93"/>
  <c r="EZ777" i="93"/>
  <c r="FD777" i="93"/>
  <c r="FH777" i="93"/>
  <c r="FL777" i="93"/>
  <c r="FP777" i="93"/>
  <c r="FT777" i="93"/>
  <c r="FX777" i="93"/>
  <c r="GB777" i="93"/>
  <c r="GF777" i="93"/>
  <c r="GJ777" i="93"/>
  <c r="GN777" i="93"/>
  <c r="GR777" i="93"/>
  <c r="GV777" i="93"/>
  <c r="GZ777" i="93"/>
  <c r="HD777" i="93"/>
  <c r="HH777" i="93"/>
  <c r="HL777" i="93"/>
  <c r="HP777" i="93"/>
  <c r="HT777" i="93"/>
  <c r="HX777" i="93"/>
  <c r="IF777" i="93"/>
  <c r="IJ777" i="93"/>
  <c r="IN777" i="93"/>
  <c r="IR777" i="93"/>
  <c r="IV777" i="93"/>
  <c r="IZ777" i="93"/>
  <c r="Y778" i="93"/>
  <c r="AC778" i="93"/>
  <c r="AG778" i="93"/>
  <c r="AK778" i="93"/>
  <c r="AO778" i="93"/>
  <c r="AS778" i="93"/>
  <c r="AW778" i="93"/>
  <c r="BA778" i="93"/>
  <c r="BE778" i="93"/>
  <c r="BI778" i="93"/>
  <c r="BM778" i="93"/>
  <c r="BQ778" i="93"/>
  <c r="BU778" i="93"/>
  <c r="BY778" i="93"/>
  <c r="CC778" i="93"/>
  <c r="CG778" i="93"/>
  <c r="CK778" i="93"/>
  <c r="CO778" i="93"/>
  <c r="CS778" i="93"/>
  <c r="CW778" i="93"/>
  <c r="DA778" i="93"/>
  <c r="DE778" i="93"/>
  <c r="DI778" i="93"/>
  <c r="DM778" i="93"/>
  <c r="DQ778" i="93"/>
  <c r="DU778" i="93"/>
  <c r="DY778" i="93"/>
  <c r="EC778" i="93"/>
  <c r="EG778" i="93"/>
  <c r="EK778" i="93"/>
  <c r="EO778" i="93"/>
  <c r="ES778" i="93"/>
  <c r="EW778" i="93"/>
  <c r="FA778" i="93"/>
  <c r="FE778" i="93"/>
  <c r="FI778" i="93"/>
  <c r="FM778" i="93"/>
  <c r="FQ778" i="93"/>
  <c r="FU778" i="93"/>
  <c r="FY778" i="93"/>
  <c r="GC778" i="93"/>
  <c r="GG778" i="93"/>
  <c r="GK778" i="93"/>
  <c r="GO778" i="93"/>
  <c r="GS778" i="93"/>
  <c r="GW778" i="93"/>
  <c r="HA778" i="93"/>
  <c r="HE778" i="93"/>
  <c r="HI778" i="93"/>
  <c r="HM778" i="93"/>
  <c r="HQ778" i="93"/>
  <c r="HU778" i="93"/>
  <c r="HY778" i="93"/>
  <c r="IC778" i="93"/>
  <c r="IK778" i="93"/>
  <c r="IO778" i="93"/>
  <c r="IS778" i="93"/>
  <c r="IW778" i="93"/>
  <c r="JA778" i="93"/>
  <c r="JE778" i="93"/>
  <c r="JI778" i="93"/>
  <c r="JM778" i="93"/>
  <c r="JQ778" i="93"/>
  <c r="X781" i="93"/>
  <c r="AB781" i="93"/>
  <c r="AF781" i="93"/>
  <c r="AJ781" i="93"/>
  <c r="AN781" i="93"/>
  <c r="AR781" i="93"/>
  <c r="AV781" i="93"/>
  <c r="AZ781" i="93"/>
  <c r="BD781" i="93"/>
  <c r="BH781" i="93"/>
  <c r="BL781" i="93"/>
  <c r="BP781" i="93"/>
  <c r="BT781" i="93"/>
  <c r="BX781" i="93"/>
  <c r="CB781" i="93"/>
  <c r="CF781" i="93"/>
  <c r="CJ781" i="93"/>
  <c r="CN781" i="93"/>
  <c r="CR781" i="93"/>
  <c r="DD781" i="93"/>
  <c r="DH781" i="93"/>
  <c r="DL781" i="93"/>
  <c r="DP781" i="93"/>
  <c r="DT781" i="93"/>
  <c r="DX781" i="93"/>
  <c r="EB781" i="93"/>
  <c r="EF781" i="93"/>
  <c r="EJ781" i="93"/>
  <c r="EN781" i="93"/>
  <c r="ER781" i="93"/>
  <c r="EV781" i="93"/>
  <c r="EZ781" i="93"/>
  <c r="FD781" i="93"/>
  <c r="FH781" i="93"/>
  <c r="FL781" i="93"/>
  <c r="FP781" i="93"/>
  <c r="FT781" i="93"/>
  <c r="FX781" i="93"/>
  <c r="GB781" i="93"/>
  <c r="GF781" i="93"/>
  <c r="GJ781" i="93"/>
  <c r="GN781" i="93"/>
  <c r="GR781" i="93"/>
  <c r="GV781" i="93"/>
  <c r="GZ781" i="93"/>
  <c r="HD781" i="93"/>
  <c r="HH781" i="93"/>
  <c r="HL781" i="93"/>
  <c r="HP781" i="93"/>
  <c r="HT781" i="93"/>
  <c r="HX781" i="93"/>
  <c r="IF781" i="93"/>
  <c r="IJ781" i="93"/>
  <c r="IN781" i="93"/>
  <c r="IR781" i="93"/>
  <c r="IV781" i="93"/>
  <c r="IZ781" i="93"/>
  <c r="JD781" i="93"/>
  <c r="JH781" i="93"/>
  <c r="JL781" i="93"/>
  <c r="JP782" i="93"/>
  <c r="JL782" i="93"/>
  <c r="JH782" i="93"/>
  <c r="JD782" i="93"/>
  <c r="IZ782" i="93"/>
  <c r="IV782" i="93"/>
  <c r="IR782" i="93"/>
  <c r="IN782" i="93"/>
  <c r="IJ782" i="93"/>
  <c r="IB782" i="93"/>
  <c r="HX782" i="93"/>
  <c r="HT782" i="93"/>
  <c r="HP782" i="93"/>
  <c r="HL782" i="93"/>
  <c r="HH782" i="93"/>
  <c r="HD782" i="93"/>
  <c r="GZ782" i="93"/>
  <c r="GV782" i="93"/>
  <c r="GR782" i="93"/>
  <c r="GN782" i="93"/>
  <c r="GJ782" i="93"/>
  <c r="GF782" i="93"/>
  <c r="GB782" i="93"/>
  <c r="FX782" i="93"/>
  <c r="FT782" i="93"/>
  <c r="FP782" i="93"/>
  <c r="FL782" i="93"/>
  <c r="FH782" i="93"/>
  <c r="FD782" i="93"/>
  <c r="EZ782" i="93"/>
  <c r="EV782" i="93"/>
  <c r="ER782" i="93"/>
  <c r="EN782" i="93"/>
  <c r="EJ782" i="93"/>
  <c r="EF782" i="93"/>
  <c r="EB782" i="93"/>
  <c r="DX782" i="93"/>
  <c r="DT782" i="93"/>
  <c r="DP782" i="93"/>
  <c r="DL782" i="93"/>
  <c r="DH782" i="93"/>
  <c r="DD782" i="93"/>
  <c r="CZ782" i="93"/>
  <c r="CV782" i="93"/>
  <c r="CR782" i="93"/>
  <c r="CN782" i="93"/>
  <c r="CJ782" i="93"/>
  <c r="CF782" i="93"/>
  <c r="CB782" i="93"/>
  <c r="BX782" i="93"/>
  <c r="BT782" i="93"/>
  <c r="BP782" i="93"/>
  <c r="BL782" i="93"/>
  <c r="BH782" i="93"/>
  <c r="BD782" i="93"/>
  <c r="AZ782" i="93"/>
  <c r="AV782" i="93"/>
  <c r="AR782" i="93"/>
  <c r="AN782" i="93"/>
  <c r="AJ782" i="93"/>
  <c r="AF782" i="93"/>
  <c r="AB782" i="93"/>
  <c r="X782" i="93"/>
  <c r="JO782" i="93"/>
  <c r="JK782" i="93"/>
  <c r="JG782" i="93"/>
  <c r="AA782" i="93"/>
  <c r="AG782" i="93"/>
  <c r="AL782" i="93"/>
  <c r="AQ782" i="93"/>
  <c r="AW782" i="93"/>
  <c r="BB782" i="93"/>
  <c r="BG782" i="93"/>
  <c r="BM782" i="93"/>
  <c r="BR782" i="93"/>
  <c r="BW782" i="93"/>
  <c r="CC782" i="93"/>
  <c r="CH782" i="93"/>
  <c r="CM782" i="93"/>
  <c r="CS782" i="93"/>
  <c r="CX782" i="93"/>
  <c r="DC782" i="93"/>
  <c r="DI782" i="93"/>
  <c r="DN782" i="93"/>
  <c r="DS782" i="93"/>
  <c r="DY782" i="93"/>
  <c r="ED782" i="93"/>
  <c r="EI782" i="93"/>
  <c r="EO782" i="93"/>
  <c r="ET782" i="93"/>
  <c r="EY782" i="93"/>
  <c r="FE782" i="93"/>
  <c r="FJ782" i="93"/>
  <c r="FO782" i="93"/>
  <c r="FU782" i="93"/>
  <c r="FZ782" i="93"/>
  <c r="GE782" i="93"/>
  <c r="GK782" i="93"/>
  <c r="GP782" i="93"/>
  <c r="GU782" i="93"/>
  <c r="HA782" i="93"/>
  <c r="HF782" i="93"/>
  <c r="HK782" i="93"/>
  <c r="HQ782" i="93"/>
  <c r="HV782" i="93"/>
  <c r="IA782" i="93"/>
  <c r="IG782" i="93"/>
  <c r="IL782" i="93"/>
  <c r="IQ782" i="93"/>
  <c r="IW782" i="93"/>
  <c r="JB782" i="93"/>
  <c r="JI782" i="93"/>
  <c r="JQ782" i="93"/>
  <c r="K783" i="93"/>
  <c r="L783" i="93" s="1"/>
  <c r="CZ783" i="93"/>
  <c r="BX783" i="93"/>
  <c r="Z783" i="93"/>
  <c r="AH783" i="93"/>
  <c r="AP783" i="93"/>
  <c r="AX783" i="93"/>
  <c r="BF783" i="93"/>
  <c r="BN783" i="93"/>
  <c r="BV783" i="93"/>
  <c r="CD783" i="93"/>
  <c r="CL783" i="93"/>
  <c r="CT783" i="93"/>
  <c r="DB783" i="93"/>
  <c r="DJ783" i="93"/>
  <c r="DR783" i="93"/>
  <c r="DZ783" i="93"/>
  <c r="EH783" i="93"/>
  <c r="EP783" i="93"/>
  <c r="FF783" i="93"/>
  <c r="FN783" i="93"/>
  <c r="FV783" i="93"/>
  <c r="GD783" i="93"/>
  <c r="GL783" i="93"/>
  <c r="GT783" i="93"/>
  <c r="HB783" i="93"/>
  <c r="HJ783" i="93"/>
  <c r="HR783" i="93"/>
  <c r="HZ783" i="93"/>
  <c r="IH783" i="93"/>
  <c r="IP783" i="93"/>
  <c r="IX783" i="93"/>
  <c r="JF783" i="93"/>
  <c r="JN783" i="93"/>
  <c r="JN784" i="93"/>
  <c r="W784" i="93"/>
  <c r="AE784" i="93"/>
  <c r="AM784" i="93"/>
  <c r="AU784" i="93"/>
  <c r="BC784" i="93"/>
  <c r="BK784" i="93"/>
  <c r="BS784" i="93"/>
  <c r="CA784" i="93"/>
  <c r="CI784" i="93"/>
  <c r="CQ784" i="93"/>
  <c r="CY784" i="93"/>
  <c r="DG784" i="93"/>
  <c r="DO784" i="93"/>
  <c r="DW784" i="93"/>
  <c r="EE784" i="93"/>
  <c r="EM784" i="93"/>
  <c r="EU784" i="93"/>
  <c r="IE784" i="93"/>
  <c r="IM784" i="93"/>
  <c r="IU784" i="93"/>
  <c r="IE785" i="93"/>
  <c r="A785" i="93"/>
  <c r="IH785" i="93"/>
  <c r="ID785" i="93"/>
  <c r="X785" i="93"/>
  <c r="AF785" i="93"/>
  <c r="AN785" i="93"/>
  <c r="AV785" i="93"/>
  <c r="BD785" i="93"/>
  <c r="BL785" i="93"/>
  <c r="CB785" i="93"/>
  <c r="CJ785" i="93"/>
  <c r="CR785" i="93"/>
  <c r="DH785" i="93"/>
  <c r="DP785" i="93"/>
  <c r="DX785" i="93"/>
  <c r="EF785" i="93"/>
  <c r="EN785" i="93"/>
  <c r="EV785" i="93"/>
  <c r="IF785" i="93"/>
  <c r="IN785" i="93"/>
  <c r="DI786" i="93"/>
  <c r="DQ786" i="93"/>
  <c r="DY786" i="93"/>
  <c r="EG786" i="93"/>
  <c r="EO786" i="93"/>
  <c r="IO786" i="93"/>
  <c r="IW786" i="93"/>
  <c r="IG787" i="93"/>
  <c r="CV787" i="93"/>
  <c r="JJ787" i="93"/>
  <c r="L788" i="93"/>
  <c r="EY788" i="93"/>
  <c r="FG788" i="93"/>
  <c r="FO788" i="93"/>
  <c r="FW788" i="93"/>
  <c r="GE788" i="93"/>
  <c r="GM788" i="93"/>
  <c r="GU788" i="93"/>
  <c r="HC788" i="93"/>
  <c r="HK788" i="93"/>
  <c r="HS788" i="93"/>
  <c r="IA788" i="93"/>
  <c r="JK788" i="93"/>
  <c r="JD789" i="93"/>
  <c r="JO789" i="93"/>
  <c r="AV791" i="93"/>
  <c r="BF791" i="93"/>
  <c r="BQ791" i="93"/>
  <c r="CV791" i="93"/>
  <c r="GL792" i="93"/>
  <c r="HR792" i="93"/>
  <c r="JQ793" i="93"/>
  <c r="GA793" i="93"/>
  <c r="HG793" i="93"/>
  <c r="IH794" i="93"/>
  <c r="ID794" i="93"/>
  <c r="IG794" i="93"/>
  <c r="IY794" i="93"/>
  <c r="IQ794" i="93"/>
  <c r="II794" i="93"/>
  <c r="EQ794" i="93"/>
  <c r="EI794" i="93"/>
  <c r="EA794" i="93"/>
  <c r="DS794" i="93"/>
  <c r="DK794" i="93"/>
  <c r="CM794" i="93"/>
  <c r="CE794" i="93"/>
  <c r="AI794" i="93"/>
  <c r="AA794" i="93"/>
  <c r="A794" i="93"/>
  <c r="IV794" i="93"/>
  <c r="IN794" i="93"/>
  <c r="IF794" i="93"/>
  <c r="EV794" i="93"/>
  <c r="EN794" i="93"/>
  <c r="EF794" i="93"/>
  <c r="DX794" i="93"/>
  <c r="DP794" i="93"/>
  <c r="DH794" i="93"/>
  <c r="CR794" i="93"/>
  <c r="CJ794" i="93"/>
  <c r="CB794" i="93"/>
  <c r="AN794" i="93"/>
  <c r="AF794" i="93"/>
  <c r="X794" i="93"/>
  <c r="IU794" i="93"/>
  <c r="IM794" i="93"/>
  <c r="IE794" i="93"/>
  <c r="EU794" i="93"/>
  <c r="EM794" i="93"/>
  <c r="EE794" i="93"/>
  <c r="DW794" i="93"/>
  <c r="DO794" i="93"/>
  <c r="DG794" i="93"/>
  <c r="CQ794" i="93"/>
  <c r="CI794" i="93"/>
  <c r="CA794" i="93"/>
  <c r="AM794" i="93"/>
  <c r="AE794" i="93"/>
  <c r="W794" i="93"/>
  <c r="AR794" i="93"/>
  <c r="DD794" i="93"/>
  <c r="EJ794" i="93"/>
  <c r="IR794" i="93"/>
  <c r="JD795" i="93"/>
  <c r="IN795" i="93"/>
  <c r="EV795" i="93"/>
  <c r="EF795" i="93"/>
  <c r="DP795" i="93"/>
  <c r="CT797"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K769" i="93"/>
  <c r="IO769" i="93"/>
  <c r="IS769" i="93"/>
  <c r="IW769" i="93"/>
  <c r="JA769" i="93"/>
  <c r="JE769" i="93"/>
  <c r="JI769" i="93"/>
  <c r="JM769" i="93"/>
  <c r="Y773" i="93"/>
  <c r="AC773" i="93"/>
  <c r="AG773" i="93"/>
  <c r="AK773" i="93"/>
  <c r="AO773" i="93"/>
  <c r="AS773" i="93"/>
  <c r="AW773" i="93"/>
  <c r="BA773" i="93"/>
  <c r="BE773" i="93"/>
  <c r="BI773" i="93"/>
  <c r="BM773" i="93"/>
  <c r="BQ773" i="93"/>
  <c r="BU773" i="93"/>
  <c r="BY773" i="93"/>
  <c r="CC773" i="93"/>
  <c r="CG773" i="93"/>
  <c r="CK773" i="93"/>
  <c r="CO773" i="93"/>
  <c r="CS773" i="93"/>
  <c r="CW773" i="93"/>
  <c r="DA773" i="93"/>
  <c r="DE773" i="93"/>
  <c r="DI773" i="93"/>
  <c r="DM773" i="93"/>
  <c r="DQ773" i="93"/>
  <c r="DU773" i="93"/>
  <c r="DY773" i="93"/>
  <c r="EC773" i="93"/>
  <c r="EG773" i="93"/>
  <c r="EK773" i="93"/>
  <c r="EO773" i="93"/>
  <c r="ES773" i="93"/>
  <c r="EW773" i="93"/>
  <c r="FA773" i="93"/>
  <c r="FE773" i="93"/>
  <c r="FI773" i="93"/>
  <c r="FM773" i="93"/>
  <c r="FQ773" i="93"/>
  <c r="FU773" i="93"/>
  <c r="FY773" i="93"/>
  <c r="GC773" i="93"/>
  <c r="GG773" i="93"/>
  <c r="GK773" i="93"/>
  <c r="GO773" i="93"/>
  <c r="GS773" i="93"/>
  <c r="GW773" i="93"/>
  <c r="HA773" i="93"/>
  <c r="HE773" i="93"/>
  <c r="HI773" i="93"/>
  <c r="HM773" i="93"/>
  <c r="HQ773" i="93"/>
  <c r="HU773" i="93"/>
  <c r="HY773" i="93"/>
  <c r="IC773" i="93"/>
  <c r="IK773" i="93"/>
  <c r="IO773" i="93"/>
  <c r="IS773" i="93"/>
  <c r="IW773" i="93"/>
  <c r="JA773" i="93"/>
  <c r="JE773" i="93"/>
  <c r="JI773" i="93"/>
  <c r="JM773"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M777" i="93"/>
  <c r="DQ777" i="93"/>
  <c r="DU777" i="93"/>
  <c r="DY777" i="93"/>
  <c r="EC777" i="93"/>
  <c r="EG777" i="93"/>
  <c r="EK777" i="93"/>
  <c r="EO777" i="93"/>
  <c r="ES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IK777" i="93"/>
  <c r="IO777" i="93"/>
  <c r="IS777" i="93"/>
  <c r="IW777" i="93"/>
  <c r="JA777" i="93"/>
  <c r="JE777" i="93"/>
  <c r="JI777" i="93"/>
  <c r="JM777" i="93"/>
  <c r="Z778" i="93"/>
  <c r="AD778" i="93"/>
  <c r="AH778" i="93"/>
  <c r="AL778" i="93"/>
  <c r="AP778" i="93"/>
  <c r="AT778" i="93"/>
  <c r="AX778" i="93"/>
  <c r="BB778" i="93"/>
  <c r="BF778" i="93"/>
  <c r="BJ778" i="93"/>
  <c r="BN778" i="93"/>
  <c r="BR778" i="93"/>
  <c r="BV778" i="93"/>
  <c r="BZ778" i="93"/>
  <c r="CD778" i="93"/>
  <c r="CH778" i="93"/>
  <c r="CL778" i="93"/>
  <c r="CP778" i="93"/>
  <c r="CT778" i="93"/>
  <c r="CX778" i="93"/>
  <c r="DB778" i="93"/>
  <c r="DF778" i="93"/>
  <c r="DJ778" i="93"/>
  <c r="DN778" i="93"/>
  <c r="DR778" i="93"/>
  <c r="DV778" i="93"/>
  <c r="DZ778" i="93"/>
  <c r="ED778" i="93"/>
  <c r="EH778" i="93"/>
  <c r="EL778" i="93"/>
  <c r="EP778" i="93"/>
  <c r="ET778" i="93"/>
  <c r="EX778" i="93"/>
  <c r="FB778" i="93"/>
  <c r="FF778" i="93"/>
  <c r="FJ778" i="93"/>
  <c r="FN778" i="93"/>
  <c r="FR778" i="93"/>
  <c r="FV778" i="93"/>
  <c r="FZ778" i="93"/>
  <c r="GD778" i="93"/>
  <c r="GH778" i="93"/>
  <c r="GL778" i="93"/>
  <c r="GP778" i="93"/>
  <c r="GT778" i="93"/>
  <c r="GX778" i="93"/>
  <c r="HB778" i="93"/>
  <c r="HF778" i="93"/>
  <c r="HJ778" i="93"/>
  <c r="HN778" i="93"/>
  <c r="HR778" i="93"/>
  <c r="HV778" i="93"/>
  <c r="HZ778" i="93"/>
  <c r="IL778" i="93"/>
  <c r="IP778" i="93"/>
  <c r="IT778" i="93"/>
  <c r="IX778" i="93"/>
  <c r="JB778" i="93"/>
  <c r="JF778" i="93"/>
  <c r="JJ778" i="93"/>
  <c r="Y781" i="93"/>
  <c r="AC781" i="93"/>
  <c r="AG781" i="93"/>
  <c r="AK781" i="93"/>
  <c r="AO781" i="93"/>
  <c r="AS781" i="93"/>
  <c r="AW781" i="93"/>
  <c r="BA781" i="93"/>
  <c r="BE781" i="93"/>
  <c r="BI781" i="93"/>
  <c r="BM781" i="93"/>
  <c r="BQ781" i="93"/>
  <c r="BU781" i="93"/>
  <c r="BY781" i="93"/>
  <c r="CC781" i="93"/>
  <c r="CG781" i="93"/>
  <c r="CK781" i="93"/>
  <c r="CO781" i="93"/>
  <c r="CS781" i="93"/>
  <c r="CW781" i="93"/>
  <c r="DA781" i="93"/>
  <c r="DE781" i="93"/>
  <c r="DI781" i="93"/>
  <c r="DM781" i="93"/>
  <c r="DQ781" i="93"/>
  <c r="DU781" i="93"/>
  <c r="DY781" i="93"/>
  <c r="EC781" i="93"/>
  <c r="EG781" i="93"/>
  <c r="EK781" i="93"/>
  <c r="EO781" i="93"/>
  <c r="ES781" i="93"/>
  <c r="EW781" i="93"/>
  <c r="FA781" i="93"/>
  <c r="FE781" i="93"/>
  <c r="FI781" i="93"/>
  <c r="FM781" i="93"/>
  <c r="FQ781" i="93"/>
  <c r="FU781" i="93"/>
  <c r="FY781" i="93"/>
  <c r="GC781" i="93"/>
  <c r="GG781" i="93"/>
  <c r="GK781" i="93"/>
  <c r="GO781" i="93"/>
  <c r="GS781" i="93"/>
  <c r="GW781" i="93"/>
  <c r="HA781" i="93"/>
  <c r="HE781" i="93"/>
  <c r="HI781" i="93"/>
  <c r="HM781" i="93"/>
  <c r="HQ781" i="93"/>
  <c r="HU781" i="93"/>
  <c r="HY781" i="93"/>
  <c r="IC781" i="93"/>
  <c r="IK781" i="93"/>
  <c r="IO781" i="93"/>
  <c r="IS781" i="93"/>
  <c r="IW781" i="93"/>
  <c r="JA781" i="93"/>
  <c r="JE781" i="93"/>
  <c r="JI781" i="93"/>
  <c r="JM781" i="93"/>
  <c r="W782" i="93"/>
  <c r="AC782" i="93"/>
  <c r="AH782" i="93"/>
  <c r="AM782" i="93"/>
  <c r="AS782" i="93"/>
  <c r="AX782" i="93"/>
  <c r="BC782" i="93"/>
  <c r="BI782" i="93"/>
  <c r="BN782" i="93"/>
  <c r="BS782" i="93"/>
  <c r="BY782" i="93"/>
  <c r="CD782" i="93"/>
  <c r="CI782" i="93"/>
  <c r="CO782" i="93"/>
  <c r="CT782" i="93"/>
  <c r="CY782" i="93"/>
  <c r="DE782" i="93"/>
  <c r="DJ782" i="93"/>
  <c r="DO782" i="93"/>
  <c r="DU782" i="93"/>
  <c r="DZ782" i="93"/>
  <c r="EE782" i="93"/>
  <c r="EK782" i="93"/>
  <c r="EP782" i="93"/>
  <c r="EU782" i="93"/>
  <c r="FA782" i="93"/>
  <c r="FF782" i="93"/>
  <c r="FK782" i="93"/>
  <c r="FQ782" i="93"/>
  <c r="FV782" i="93"/>
  <c r="GA782" i="93"/>
  <c r="GG782" i="93"/>
  <c r="GL782" i="93"/>
  <c r="GQ782" i="93"/>
  <c r="GW782" i="93"/>
  <c r="HB782" i="93"/>
  <c r="HG782" i="93"/>
  <c r="HM782" i="93"/>
  <c r="HR782" i="93"/>
  <c r="HW782" i="93"/>
  <c r="IC782" i="93"/>
  <c r="IH782" i="93"/>
  <c r="IM782" i="93"/>
  <c r="IS782" i="93"/>
  <c r="IX782" i="93"/>
  <c r="JC782" i="93"/>
  <c r="JJ782" i="93"/>
  <c r="HH783" i="93"/>
  <c r="AA783" i="93"/>
  <c r="AI783" i="93"/>
  <c r="AQ783" i="93"/>
  <c r="AY783" i="93"/>
  <c r="BG783" i="93"/>
  <c r="BO783" i="93"/>
  <c r="BW783" i="93"/>
  <c r="CE783" i="93"/>
  <c r="CM783" i="93"/>
  <c r="CU783" i="93"/>
  <c r="DC783" i="93"/>
  <c r="DK783" i="93"/>
  <c r="DS783" i="93"/>
  <c r="EA783" i="93"/>
  <c r="EI783" i="93"/>
  <c r="EQ783" i="93"/>
  <c r="FG783" i="93"/>
  <c r="FO783" i="93"/>
  <c r="FW783" i="93"/>
  <c r="GE783" i="93"/>
  <c r="GM783" i="93"/>
  <c r="GU783" i="93"/>
  <c r="HC783" i="93"/>
  <c r="HK783" i="93"/>
  <c r="HS783" i="93"/>
  <c r="II783" i="93"/>
  <c r="IQ783" i="93"/>
  <c r="IY783" i="93"/>
  <c r="JG783" i="93"/>
  <c r="X784" i="93"/>
  <c r="AF784" i="93"/>
  <c r="AN784" i="93"/>
  <c r="AV784" i="93"/>
  <c r="BD784" i="93"/>
  <c r="BL784" i="93"/>
  <c r="CB784" i="93"/>
  <c r="CJ784" i="93"/>
  <c r="CR784" i="93"/>
  <c r="DH784" i="93"/>
  <c r="DP784" i="93"/>
  <c r="DX784" i="93"/>
  <c r="EF784" i="93"/>
  <c r="EN784" i="93"/>
  <c r="EV784" i="93"/>
  <c r="FD784" i="93"/>
  <c r="FL784" i="93"/>
  <c r="FT784" i="93"/>
  <c r="GB784" i="93"/>
  <c r="GJ784" i="93"/>
  <c r="GR784" i="93"/>
  <c r="GZ784" i="93"/>
  <c r="HH784" i="93"/>
  <c r="HP784" i="93"/>
  <c r="IF784" i="93"/>
  <c r="IN784" i="93"/>
  <c r="IV784" i="93"/>
  <c r="JO785" i="93"/>
  <c r="JK785" i="93"/>
  <c r="JG785" i="93"/>
  <c r="JC785" i="93"/>
  <c r="IY785" i="93"/>
  <c r="IU785" i="93"/>
  <c r="IQ785" i="93"/>
  <c r="IM785" i="93"/>
  <c r="II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EU785" i="93"/>
  <c r="EQ785" i="93"/>
  <c r="EM785" i="93"/>
  <c r="EI785" i="93"/>
  <c r="EE785" i="93"/>
  <c r="EA785" i="93"/>
  <c r="DW785" i="93"/>
  <c r="DS785" i="93"/>
  <c r="DO785" i="93"/>
  <c r="DK785" i="93"/>
  <c r="DG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N785" i="93"/>
  <c r="JJ785" i="93"/>
  <c r="JF785" i="93"/>
  <c r="JB785" i="93"/>
  <c r="IX785" i="93"/>
  <c r="IT785" i="93"/>
  <c r="IP785" i="93"/>
  <c r="IL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T785" i="93"/>
  <c r="EP785" i="93"/>
  <c r="EL785" i="93"/>
  <c r="EH785" i="93"/>
  <c r="ED785" i="93"/>
  <c r="DZ785" i="93"/>
  <c r="DV785" i="93"/>
  <c r="DR785" i="93"/>
  <c r="DN785" i="93"/>
  <c r="DJ785" i="93"/>
  <c r="DF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Y785" i="93"/>
  <c r="AG785" i="93"/>
  <c r="AO785" i="93"/>
  <c r="AW785" i="93"/>
  <c r="BE785" i="93"/>
  <c r="BM785" i="93"/>
  <c r="BU785" i="93"/>
  <c r="CC785" i="93"/>
  <c r="CK785" i="93"/>
  <c r="CS785" i="93"/>
  <c r="DA785" i="93"/>
  <c r="DI785" i="93"/>
  <c r="DQ785" i="93"/>
  <c r="DY785" i="93"/>
  <c r="EG785" i="93"/>
  <c r="EO785" i="93"/>
  <c r="EW785" i="93"/>
  <c r="FE785" i="93"/>
  <c r="FM785" i="93"/>
  <c r="FU785" i="93"/>
  <c r="GC785" i="93"/>
  <c r="GK785" i="93"/>
  <c r="GS785" i="93"/>
  <c r="HA785" i="93"/>
  <c r="HI785" i="93"/>
  <c r="HQ785" i="93"/>
  <c r="HY785" i="93"/>
  <c r="IG785" i="93"/>
  <c r="IO785" i="93"/>
  <c r="IW785" i="93"/>
  <c r="JE785" i="93"/>
  <c r="JM785" i="93"/>
  <c r="JP786" i="93"/>
  <c r="JL786" i="93"/>
  <c r="JH786" i="93"/>
  <c r="JD786" i="93"/>
  <c r="IZ786" i="93"/>
  <c r="IV786" i="93"/>
  <c r="IR786" i="93"/>
  <c r="IN786" i="93"/>
  <c r="IJ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V786" i="93"/>
  <c r="ER786" i="93"/>
  <c r="EN786" i="93"/>
  <c r="EJ786" i="93"/>
  <c r="EF786" i="93"/>
  <c r="EB786" i="93"/>
  <c r="DX786" i="93"/>
  <c r="DT786" i="93"/>
  <c r="DP786" i="93"/>
  <c r="DL786" i="93"/>
  <c r="DH786" i="93"/>
  <c r="DD786" i="93"/>
  <c r="CZ786" i="93"/>
  <c r="CV786" i="93"/>
  <c r="CR786" i="93"/>
  <c r="CN786" i="93"/>
  <c r="CJ786" i="93"/>
  <c r="CF786" i="93"/>
  <c r="CB786" i="93"/>
  <c r="BX786" i="93"/>
  <c r="BT786" i="93"/>
  <c r="BP786" i="93"/>
  <c r="BL786" i="93"/>
  <c r="BH786" i="93"/>
  <c r="BD786" i="93"/>
  <c r="AZ786" i="93"/>
  <c r="AV786" i="93"/>
  <c r="AR786" i="93"/>
  <c r="AN786" i="93"/>
  <c r="AJ786" i="93"/>
  <c r="AF786" i="93"/>
  <c r="AB786" i="93"/>
  <c r="X786" i="93"/>
  <c r="JO786" i="93"/>
  <c r="JK786" i="93"/>
  <c r="JG786" i="93"/>
  <c r="JC786" i="93"/>
  <c r="IY786" i="93"/>
  <c r="IU786" i="93"/>
  <c r="IQ786" i="93"/>
  <c r="IM786" i="93"/>
  <c r="II786" i="93"/>
  <c r="IE786" i="93"/>
  <c r="IA786" i="93"/>
  <c r="HW786" i="93"/>
  <c r="HS786" i="93"/>
  <c r="HO786" i="93"/>
  <c r="HK786" i="93"/>
  <c r="HG786" i="93"/>
  <c r="HC786" i="93"/>
  <c r="GY786" i="93"/>
  <c r="GU786" i="93"/>
  <c r="GQ786" i="93"/>
  <c r="GM786" i="93"/>
  <c r="GI786" i="93"/>
  <c r="GE786" i="93"/>
  <c r="GA786" i="93"/>
  <c r="FW786" i="93"/>
  <c r="FS786" i="93"/>
  <c r="FO786" i="93"/>
  <c r="FK786" i="93"/>
  <c r="FG786" i="93"/>
  <c r="FC786" i="93"/>
  <c r="EY786" i="93"/>
  <c r="EU786" i="93"/>
  <c r="EQ786" i="93"/>
  <c r="EM786" i="93"/>
  <c r="EI786" i="93"/>
  <c r="EE786" i="93"/>
  <c r="EA786" i="93"/>
  <c r="DW786" i="93"/>
  <c r="DS786" i="93"/>
  <c r="DO786" i="93"/>
  <c r="DK786" i="93"/>
  <c r="DG786" i="93"/>
  <c r="DC786" i="93"/>
  <c r="CY786" i="93"/>
  <c r="CU786" i="93"/>
  <c r="CQ786" i="93"/>
  <c r="CM786" i="93"/>
  <c r="CI786" i="93"/>
  <c r="CE786" i="93"/>
  <c r="CA786" i="93"/>
  <c r="BW786" i="93"/>
  <c r="BS786" i="93"/>
  <c r="BO786" i="93"/>
  <c r="BK786" i="93"/>
  <c r="BG786" i="93"/>
  <c r="BC786" i="93"/>
  <c r="AY786" i="93"/>
  <c r="AU786" i="93"/>
  <c r="AQ786" i="93"/>
  <c r="AM786" i="93"/>
  <c r="AI786" i="93"/>
  <c r="AE786" i="93"/>
  <c r="AA786" i="93"/>
  <c r="W786" i="93"/>
  <c r="A786" i="93"/>
  <c r="Z786" i="93"/>
  <c r="AH786" i="93"/>
  <c r="AP786" i="93"/>
  <c r="AX786" i="93"/>
  <c r="BF786" i="93"/>
  <c r="BN786" i="93"/>
  <c r="BV786" i="93"/>
  <c r="CD786" i="93"/>
  <c r="CL786" i="93"/>
  <c r="CT786" i="93"/>
  <c r="DB786" i="93"/>
  <c r="DJ786" i="93"/>
  <c r="DR786" i="93"/>
  <c r="DZ786" i="93"/>
  <c r="EH786" i="93"/>
  <c r="EP786" i="93"/>
  <c r="EX786" i="93"/>
  <c r="FF786" i="93"/>
  <c r="FN786" i="93"/>
  <c r="FV786" i="93"/>
  <c r="GD786" i="93"/>
  <c r="GL786" i="93"/>
  <c r="GT786" i="93"/>
  <c r="HB786" i="93"/>
  <c r="HJ786" i="93"/>
  <c r="HR786" i="93"/>
  <c r="HZ786" i="93"/>
  <c r="IH786" i="93"/>
  <c r="IP786" i="93"/>
  <c r="IX786" i="93"/>
  <c r="JF786" i="93"/>
  <c r="JN786" i="93"/>
  <c r="JQ787" i="93"/>
  <c r="L787" i="93"/>
  <c r="FC787" i="93"/>
  <c r="FK787" i="93"/>
  <c r="FS787" i="93"/>
  <c r="GA787" i="93"/>
  <c r="GI787" i="93"/>
  <c r="GQ787" i="93"/>
  <c r="GY787" i="93"/>
  <c r="HG787" i="93"/>
  <c r="HO787" i="93"/>
  <c r="JC787" i="93"/>
  <c r="IH788" i="93"/>
  <c r="ID788" i="93"/>
  <c r="IG788" i="93"/>
  <c r="AB788" i="93"/>
  <c r="AJ788" i="93"/>
  <c r="AR788" i="93"/>
  <c r="AZ788" i="93"/>
  <c r="BH788" i="93"/>
  <c r="BP788" i="93"/>
  <c r="CF788" i="93"/>
  <c r="CN788" i="93"/>
  <c r="DD788" i="93"/>
  <c r="DL788" i="93"/>
  <c r="DT788" i="93"/>
  <c r="EB788" i="93"/>
  <c r="EJ788" i="93"/>
  <c r="ER788" i="93"/>
  <c r="EZ788" i="93"/>
  <c r="FH788" i="93"/>
  <c r="FP788" i="93"/>
  <c r="FX788" i="93"/>
  <c r="GF788" i="93"/>
  <c r="GN788" i="93"/>
  <c r="GV788" i="93"/>
  <c r="HD788" i="93"/>
  <c r="HL788" i="93"/>
  <c r="HT788" i="93"/>
  <c r="IJ788" i="93"/>
  <c r="IR788" i="93"/>
  <c r="JB788" i="93"/>
  <c r="JM788" i="93"/>
  <c r="DC789" i="93"/>
  <c r="BW789" i="93"/>
  <c r="DB789" i="93"/>
  <c r="BV789" i="93"/>
  <c r="W789" i="93"/>
  <c r="AH789" i="93"/>
  <c r="AR789" i="93"/>
  <c r="BC789" i="93"/>
  <c r="BN789" i="93"/>
  <c r="BX789" i="93"/>
  <c r="CI789" i="93"/>
  <c r="CT789" i="93"/>
  <c r="DD789" i="93"/>
  <c r="DO789" i="93"/>
  <c r="DZ789" i="93"/>
  <c r="EJ789" i="93"/>
  <c r="EU789" i="93"/>
  <c r="IM789" i="93"/>
  <c r="IX789" i="93"/>
  <c r="JH789" i="93"/>
  <c r="IH790" i="93"/>
  <c r="ID790" i="93"/>
  <c r="A790" i="93"/>
  <c r="IG790" i="93"/>
  <c r="IF790" i="93"/>
  <c r="JQ791" i="93"/>
  <c r="JI791" i="93"/>
  <c r="IC791" i="93"/>
  <c r="HU791" i="93"/>
  <c r="HM791" i="93"/>
  <c r="HE791" i="93"/>
  <c r="GW791" i="93"/>
  <c r="GO791" i="93"/>
  <c r="GG791" i="93"/>
  <c r="FY791" i="93"/>
  <c r="FQ791" i="93"/>
  <c r="FI791" i="93"/>
  <c r="FA791" i="93"/>
  <c r="JP791" i="93"/>
  <c r="JH791" i="93"/>
  <c r="IB791" i="93"/>
  <c r="HT791" i="93"/>
  <c r="HL791" i="93"/>
  <c r="HD791" i="93"/>
  <c r="GV791" i="93"/>
  <c r="GN791" i="93"/>
  <c r="GF791" i="93"/>
  <c r="FX791" i="93"/>
  <c r="FP791" i="93"/>
  <c r="FH791" i="93"/>
  <c r="EZ791" i="93"/>
  <c r="AZ791" i="93"/>
  <c r="BJ791" i="93"/>
  <c r="EW791" i="93"/>
  <c r="GC791" i="93"/>
  <c r="HI791" i="93"/>
  <c r="JP792" i="93"/>
  <c r="JL792" i="93"/>
  <c r="JH792" i="93"/>
  <c r="JD792" i="93"/>
  <c r="IZ792" i="93"/>
  <c r="IV792" i="93"/>
  <c r="IR792" i="93"/>
  <c r="IN792" i="93"/>
  <c r="IJ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EV792" i="93"/>
  <c r="ER792" i="93"/>
  <c r="EN792" i="93"/>
  <c r="EJ792" i="93"/>
  <c r="EF792" i="93"/>
  <c r="EB792" i="93"/>
  <c r="DX792" i="93"/>
  <c r="DT792" i="93"/>
  <c r="DP792" i="93"/>
  <c r="DL792" i="93"/>
  <c r="DH792" i="93"/>
  <c r="DD792" i="93"/>
  <c r="CZ792" i="93"/>
  <c r="CV792" i="93"/>
  <c r="CR792" i="93"/>
  <c r="CN792" i="93"/>
  <c r="CJ792" i="93"/>
  <c r="CF792" i="93"/>
  <c r="CB792" i="93"/>
  <c r="BX792" i="93"/>
  <c r="BT792" i="93"/>
  <c r="BP792" i="93"/>
  <c r="BL792" i="93"/>
  <c r="BH792" i="93"/>
  <c r="BD792" i="93"/>
  <c r="AZ792" i="93"/>
  <c r="AV792" i="93"/>
  <c r="AR792" i="93"/>
  <c r="AN792" i="93"/>
  <c r="AJ792" i="93"/>
  <c r="AF792" i="93"/>
  <c r="AB792" i="93"/>
  <c r="X792" i="93"/>
  <c r="JO792" i="93"/>
  <c r="JK792" i="93"/>
  <c r="JG792" i="93"/>
  <c r="JC792" i="93"/>
  <c r="IY792" i="93"/>
  <c r="IU792" i="93"/>
  <c r="IQ792" i="93"/>
  <c r="IM792" i="93"/>
  <c r="II792" i="93"/>
  <c r="IE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EU792" i="93"/>
  <c r="EQ792" i="93"/>
  <c r="EM792" i="93"/>
  <c r="EI792" i="93"/>
  <c r="EE792" i="93"/>
  <c r="EA792" i="93"/>
  <c r="DW792" i="93"/>
  <c r="DS792" i="93"/>
  <c r="DO792" i="93"/>
  <c r="DK792" i="93"/>
  <c r="DG792" i="93"/>
  <c r="DC792" i="93"/>
  <c r="CY792" i="93"/>
  <c r="CU792" i="93"/>
  <c r="CQ792" i="93"/>
  <c r="CM792" i="93"/>
  <c r="CI792" i="93"/>
  <c r="CE792" i="93"/>
  <c r="CA792" i="93"/>
  <c r="BW792" i="93"/>
  <c r="BS792" i="93"/>
  <c r="BO792" i="93"/>
  <c r="BK792" i="93"/>
  <c r="BG792" i="93"/>
  <c r="BC792" i="93"/>
  <c r="AY792" i="93"/>
  <c r="AU792" i="93"/>
  <c r="AQ792" i="93"/>
  <c r="AM792" i="93"/>
  <c r="AI792" i="93"/>
  <c r="AE792" i="93"/>
  <c r="AA792" i="93"/>
  <c r="W792" i="93"/>
  <c r="A792" i="93"/>
  <c r="JM792" i="93"/>
  <c r="JE792" i="93"/>
  <c r="IW792" i="93"/>
  <c r="IO792" i="93"/>
  <c r="IG792" i="93"/>
  <c r="HY792" i="93"/>
  <c r="HQ792" i="93"/>
  <c r="HI792" i="93"/>
  <c r="HA792" i="93"/>
  <c r="GS792" i="93"/>
  <c r="GK792" i="93"/>
  <c r="GC792" i="93"/>
  <c r="FU792" i="93"/>
  <c r="FM792" i="93"/>
  <c r="FE792" i="93"/>
  <c r="EW792" i="93"/>
  <c r="EO792" i="93"/>
  <c r="EG792" i="93"/>
  <c r="DY792" i="93"/>
  <c r="DQ792" i="93"/>
  <c r="DI792" i="93"/>
  <c r="DA792" i="93"/>
  <c r="CS792" i="93"/>
  <c r="CK792" i="93"/>
  <c r="CC792" i="93"/>
  <c r="BU792" i="93"/>
  <c r="BM792" i="93"/>
  <c r="BE792" i="93"/>
  <c r="AW792" i="93"/>
  <c r="AO792" i="93"/>
  <c r="AG792" i="93"/>
  <c r="Y792" i="93"/>
  <c r="JJ792" i="93"/>
  <c r="JB792" i="93"/>
  <c r="IT792" i="93"/>
  <c r="IL792" i="93"/>
  <c r="ID792" i="93"/>
  <c r="HV792" i="93"/>
  <c r="HN792" i="93"/>
  <c r="HF792" i="93"/>
  <c r="GX792" i="93"/>
  <c r="GP792" i="93"/>
  <c r="GH792" i="93"/>
  <c r="FZ792" i="93"/>
  <c r="FR792" i="93"/>
  <c r="FJ792" i="93"/>
  <c r="FB792" i="93"/>
  <c r="ET792" i="93"/>
  <c r="EL792" i="93"/>
  <c r="ED792" i="93"/>
  <c r="DV792" i="93"/>
  <c r="DN792" i="93"/>
  <c r="DF792" i="93"/>
  <c r="CX792" i="93"/>
  <c r="CP792" i="93"/>
  <c r="CH792" i="93"/>
  <c r="BZ792" i="93"/>
  <c r="BR792" i="93"/>
  <c r="BJ792" i="93"/>
  <c r="BB792" i="93"/>
  <c r="AT792" i="93"/>
  <c r="AL792" i="93"/>
  <c r="AD792" i="93"/>
  <c r="JQ792" i="93"/>
  <c r="JI792" i="93"/>
  <c r="JA792" i="93"/>
  <c r="IS792" i="93"/>
  <c r="IK792" i="93"/>
  <c r="IC792" i="93"/>
  <c r="HU792" i="93"/>
  <c r="HM792" i="93"/>
  <c r="HE792" i="93"/>
  <c r="GW792" i="93"/>
  <c r="GO792" i="93"/>
  <c r="GG792" i="93"/>
  <c r="FY792" i="93"/>
  <c r="FQ792" i="93"/>
  <c r="FI792" i="93"/>
  <c r="FA792" i="93"/>
  <c r="ES792" i="93"/>
  <c r="EK792" i="93"/>
  <c r="EC792" i="93"/>
  <c r="DU792" i="93"/>
  <c r="DM792" i="93"/>
  <c r="DE792" i="93"/>
  <c r="CW792" i="93"/>
  <c r="CO792" i="93"/>
  <c r="CG792" i="93"/>
  <c r="BY792" i="93"/>
  <c r="BQ792" i="93"/>
  <c r="BI792" i="93"/>
  <c r="BA792" i="93"/>
  <c r="AS792" i="93"/>
  <c r="AK792" i="93"/>
  <c r="AC792" i="93"/>
  <c r="AP792" i="93"/>
  <c r="BV792" i="93"/>
  <c r="DB792" i="93"/>
  <c r="EH792" i="93"/>
  <c r="FN792" i="93"/>
  <c r="GT792" i="93"/>
  <c r="HZ792" i="93"/>
  <c r="JF792" i="93"/>
  <c r="A793" i="93"/>
  <c r="FC793" i="93"/>
  <c r="GI793" i="93"/>
  <c r="HO793" i="93"/>
  <c r="AZ794" i="93"/>
  <c r="CF794" i="93"/>
  <c r="DL794" i="93"/>
  <c r="ER794" i="93"/>
  <c r="IZ794" i="93"/>
  <c r="BT795" i="93"/>
  <c r="BL795" i="93"/>
  <c r="BD795" i="93"/>
  <c r="AV795" i="93"/>
  <c r="BQ795" i="93"/>
  <c r="DL795" i="93"/>
  <c r="BX798" i="93"/>
  <c r="IY798" i="93"/>
  <c r="IQ798" i="93"/>
  <c r="II798" i="93"/>
  <c r="EQ798" i="93"/>
  <c r="EI798" i="93"/>
  <c r="EA798" i="93"/>
  <c r="DS798" i="93"/>
  <c r="DK798" i="93"/>
  <c r="DC798" i="93"/>
  <c r="CU798" i="93"/>
  <c r="CM798" i="93"/>
  <c r="CE798" i="93"/>
  <c r="BW798" i="93"/>
  <c r="BO798" i="93"/>
  <c r="BG798" i="93"/>
  <c r="AY798" i="93"/>
  <c r="AQ798" i="93"/>
  <c r="AI798" i="93"/>
  <c r="AA798" i="93"/>
  <c r="A798" i="93"/>
  <c r="IV798" i="93"/>
  <c r="IN798" i="93"/>
  <c r="IF798" i="93"/>
  <c r="EV798" i="93"/>
  <c r="EN798" i="93"/>
  <c r="EF798" i="93"/>
  <c r="DX798" i="93"/>
  <c r="DP798" i="93"/>
  <c r="DH798" i="93"/>
  <c r="CZ798" i="93"/>
  <c r="CR798" i="93"/>
  <c r="CJ798" i="93"/>
  <c r="CB798" i="93"/>
  <c r="BT798" i="93"/>
  <c r="BL798" i="93"/>
  <c r="BD798" i="93"/>
  <c r="AV798" i="93"/>
  <c r="AN798" i="93"/>
  <c r="AF798" i="93"/>
  <c r="X798" i="93"/>
  <c r="IM798" i="93"/>
  <c r="EU798" i="93"/>
  <c r="DO798" i="93"/>
  <c r="CI798" i="93"/>
  <c r="BC798" i="93"/>
  <c r="W798" i="93"/>
  <c r="IE798" i="93"/>
  <c r="EM798" i="93"/>
  <c r="DG798" i="93"/>
  <c r="CA798" i="93"/>
  <c r="AU798" i="93"/>
  <c r="EE798" i="93"/>
  <c r="CY798" i="93"/>
  <c r="BS798" i="93"/>
  <c r="AM798" i="93"/>
  <c r="BK798" i="93"/>
  <c r="JQ802" i="93"/>
  <c r="JM802" i="93"/>
  <c r="JI802" i="93"/>
  <c r="JE802" i="93"/>
  <c r="JA802" i="93"/>
  <c r="IW802" i="93"/>
  <c r="IS802" i="93"/>
  <c r="IO802" i="93"/>
  <c r="IK802" i="93"/>
  <c r="IG802" i="93"/>
  <c r="IC802" i="93"/>
  <c r="HY802" i="93"/>
  <c r="HU802" i="93"/>
  <c r="HQ802" i="93"/>
  <c r="HM802" i="93"/>
  <c r="HI802" i="93"/>
  <c r="HE802" i="93"/>
  <c r="HA802" i="93"/>
  <c r="GW802" i="93"/>
  <c r="GS802" i="93"/>
  <c r="GO802" i="93"/>
  <c r="GK802" i="93"/>
  <c r="GG802" i="93"/>
  <c r="GC802" i="93"/>
  <c r="FY802" i="93"/>
  <c r="FU802" i="93"/>
  <c r="FQ802" i="93"/>
  <c r="FM802" i="93"/>
  <c r="FI802" i="93"/>
  <c r="FE802" i="93"/>
  <c r="FA802" i="93"/>
  <c r="EW802" i="93"/>
  <c r="ES802" i="93"/>
  <c r="EO802" i="93"/>
  <c r="EK802" i="93"/>
  <c r="EG802" i="93"/>
  <c r="EC802" i="93"/>
  <c r="DY802" i="93"/>
  <c r="DU802" i="93"/>
  <c r="DQ802" i="93"/>
  <c r="DM802" i="93"/>
  <c r="DI802" i="93"/>
  <c r="DE802" i="93"/>
  <c r="DA802" i="93"/>
  <c r="CW802" i="93"/>
  <c r="CS802" i="93"/>
  <c r="CO802" i="93"/>
  <c r="CK802" i="93"/>
  <c r="CG802" i="93"/>
  <c r="CC802" i="93"/>
  <c r="BY802" i="93"/>
  <c r="BU802" i="93"/>
  <c r="BQ802" i="93"/>
  <c r="BM802" i="93"/>
  <c r="BI802" i="93"/>
  <c r="BE802" i="93"/>
  <c r="BA802" i="93"/>
  <c r="AW802" i="93"/>
  <c r="AS802" i="93"/>
  <c r="AO802" i="93"/>
  <c r="AK802" i="93"/>
  <c r="AG802" i="93"/>
  <c r="AC802" i="93"/>
  <c r="Y802" i="93"/>
  <c r="JP802" i="93"/>
  <c r="JL802" i="93"/>
  <c r="JH802" i="93"/>
  <c r="JD802" i="93"/>
  <c r="IZ802" i="93"/>
  <c r="IV802" i="93"/>
  <c r="IR802" i="93"/>
  <c r="IN802" i="93"/>
  <c r="IJ802" i="93"/>
  <c r="IB802" i="93"/>
  <c r="HX802" i="93"/>
  <c r="HT802" i="93"/>
  <c r="HP802" i="93"/>
  <c r="HL802" i="93"/>
  <c r="HH802" i="93"/>
  <c r="HD802" i="93"/>
  <c r="GZ802" i="93"/>
  <c r="GV802" i="93"/>
  <c r="GR802" i="93"/>
  <c r="GN802" i="93"/>
  <c r="GJ802" i="93"/>
  <c r="GF802" i="93"/>
  <c r="GB802" i="93"/>
  <c r="FX802" i="93"/>
  <c r="FT802" i="93"/>
  <c r="FP802" i="93"/>
  <c r="FL802" i="93"/>
  <c r="FH802" i="93"/>
  <c r="FD802" i="93"/>
  <c r="EZ802" i="93"/>
  <c r="EV802" i="93"/>
  <c r="ER802" i="93"/>
  <c r="EN802" i="93"/>
  <c r="EJ802" i="93"/>
  <c r="EF802" i="93"/>
  <c r="EB802" i="93"/>
  <c r="DX802" i="93"/>
  <c r="DT802" i="93"/>
  <c r="DP802" i="93"/>
  <c r="DL802" i="93"/>
  <c r="DH802" i="93"/>
  <c r="DD802" i="93"/>
  <c r="CZ802" i="93"/>
  <c r="CV802" i="93"/>
  <c r="CR802" i="93"/>
  <c r="CN802" i="93"/>
  <c r="CJ802" i="93"/>
  <c r="CF802" i="93"/>
  <c r="CB802" i="93"/>
  <c r="BX802" i="93"/>
  <c r="BT802" i="93"/>
  <c r="BP802" i="93"/>
  <c r="BL802" i="93"/>
  <c r="BH802" i="93"/>
  <c r="BD802" i="93"/>
  <c r="AZ802" i="93"/>
  <c r="AV802" i="93"/>
  <c r="AR802" i="93"/>
  <c r="AN802" i="93"/>
  <c r="AJ802" i="93"/>
  <c r="AF802" i="93"/>
  <c r="AB802" i="93"/>
  <c r="X802" i="93"/>
  <c r="JO802" i="93"/>
  <c r="JK802" i="93"/>
  <c r="JG802" i="93"/>
  <c r="JC802" i="93"/>
  <c r="IY802" i="93"/>
  <c r="IU802" i="93"/>
  <c r="IQ802" i="93"/>
  <c r="IM802" i="93"/>
  <c r="II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U802" i="93"/>
  <c r="EQ802" i="93"/>
  <c r="EM802" i="93"/>
  <c r="EI802" i="93"/>
  <c r="EE802" i="93"/>
  <c r="EA802" i="93"/>
  <c r="DW802" i="93"/>
  <c r="DS802" i="93"/>
  <c r="DO802" i="93"/>
  <c r="DK802" i="93"/>
  <c r="DG802" i="93"/>
  <c r="DC802" i="93"/>
  <c r="CY802" i="93"/>
  <c r="CU802" i="93"/>
  <c r="CQ802" i="93"/>
  <c r="CM802" i="93"/>
  <c r="CI802" i="93"/>
  <c r="CE802" i="93"/>
  <c r="CA802" i="93"/>
  <c r="BW802" i="93"/>
  <c r="BS802" i="93"/>
  <c r="BO802" i="93"/>
  <c r="BK802" i="93"/>
  <c r="BG802" i="93"/>
  <c r="BC802" i="93"/>
  <c r="AY802" i="93"/>
  <c r="AU802" i="93"/>
  <c r="AQ802" i="93"/>
  <c r="AM802" i="93"/>
  <c r="AI802" i="93"/>
  <c r="AE802" i="93"/>
  <c r="AA802" i="93"/>
  <c r="W802" i="93"/>
  <c r="A802" i="93"/>
  <c r="JF802" i="93"/>
  <c r="IP802" i="93"/>
  <c r="HZ802" i="93"/>
  <c r="HJ802" i="93"/>
  <c r="GT802" i="93"/>
  <c r="GD802" i="93"/>
  <c r="FN802" i="93"/>
  <c r="EX802" i="93"/>
  <c r="EH802" i="93"/>
  <c r="DR802" i="93"/>
  <c r="DB802" i="93"/>
  <c r="CL802" i="93"/>
  <c r="BV802" i="93"/>
  <c r="BF802" i="93"/>
  <c r="AP802" i="93"/>
  <c r="Z802" i="93"/>
  <c r="JB802" i="93"/>
  <c r="IL802" i="93"/>
  <c r="HV802" i="93"/>
  <c r="HF802" i="93"/>
  <c r="GP802" i="93"/>
  <c r="FZ802" i="93"/>
  <c r="FJ802" i="93"/>
  <c r="ET802" i="93"/>
  <c r="ED802" i="93"/>
  <c r="DN802" i="93"/>
  <c r="CX802" i="93"/>
  <c r="CH802" i="93"/>
  <c r="BR802" i="93"/>
  <c r="BB802" i="93"/>
  <c r="AL802" i="93"/>
  <c r="IX802" i="93"/>
  <c r="HR802" i="93"/>
  <c r="GL802" i="93"/>
  <c r="FF802" i="93"/>
  <c r="DZ802" i="93"/>
  <c r="CT802" i="93"/>
  <c r="BN802" i="93"/>
  <c r="AH802" i="93"/>
  <c r="IT802" i="93"/>
  <c r="HN802" i="93"/>
  <c r="GH802" i="93"/>
  <c r="FB802" i="93"/>
  <c r="DV802" i="93"/>
  <c r="CP802" i="93"/>
  <c r="BJ802" i="93"/>
  <c r="AD802" i="93"/>
  <c r="JN802" i="93"/>
  <c r="IH802" i="93"/>
  <c r="HB802" i="93"/>
  <c r="FV802" i="93"/>
  <c r="EP802" i="93"/>
  <c r="DJ802" i="93"/>
  <c r="CD802" i="93"/>
  <c r="AX802" i="93"/>
  <c r="EL802" i="93"/>
  <c r="JJ802" i="93"/>
  <c r="K793" i="93"/>
  <c r="L793" i="93" s="1"/>
  <c r="CZ793" i="93"/>
  <c r="BX793" i="93"/>
  <c r="Z793" i="93"/>
  <c r="AH793" i="93"/>
  <c r="AP793" i="93"/>
  <c r="AX793" i="93"/>
  <c r="BF793" i="93"/>
  <c r="BN793" i="93"/>
  <c r="BV793" i="93"/>
  <c r="CD793" i="93"/>
  <c r="CL793" i="93"/>
  <c r="CT793" i="93"/>
  <c r="DB793" i="93"/>
  <c r="DJ793" i="93"/>
  <c r="DR793" i="93"/>
  <c r="DZ793" i="93"/>
  <c r="EH793" i="93"/>
  <c r="EP793" i="93"/>
  <c r="IH793" i="93"/>
  <c r="IP793" i="93"/>
  <c r="IX793" i="93"/>
  <c r="CY794" i="93"/>
  <c r="IE795" i="93"/>
  <c r="A795" i="93"/>
  <c r="IH795" i="93"/>
  <c r="ID795" i="93"/>
  <c r="IG795" i="93"/>
  <c r="X795" i="93"/>
  <c r="AF795" i="93"/>
  <c r="AN795" i="93"/>
  <c r="CJ795" i="93"/>
  <c r="AT802" i="93"/>
  <c r="FR802" i="93"/>
  <c r="HO804" i="93"/>
  <c r="GR804" i="93"/>
  <c r="GB804" i="93"/>
  <c r="FL804" i="93"/>
  <c r="JF804" i="93"/>
  <c r="HG804" i="93"/>
  <c r="GN804" i="93"/>
  <c r="FX804" i="93"/>
  <c r="FH804" i="93"/>
  <c r="HZ804" i="93"/>
  <c r="GF804" i="93"/>
  <c r="EZ804" i="93"/>
  <c r="GZ804" i="93"/>
  <c r="FT804" i="93"/>
  <c r="GV804" i="93"/>
  <c r="FP804" i="93"/>
  <c r="GJ804" i="93"/>
  <c r="X783" i="93"/>
  <c r="AB783" i="93"/>
  <c r="AF783" i="93"/>
  <c r="AJ783" i="93"/>
  <c r="AN783" i="93"/>
  <c r="AR783" i="93"/>
  <c r="AV783" i="93"/>
  <c r="AZ783" i="93"/>
  <c r="BD783" i="93"/>
  <c r="BH783" i="93"/>
  <c r="BL783" i="93"/>
  <c r="BP783" i="93"/>
  <c r="BT783" i="93"/>
  <c r="CB783" i="93"/>
  <c r="CF783" i="93"/>
  <c r="CJ783" i="93"/>
  <c r="CN783" i="93"/>
  <c r="CR783" i="93"/>
  <c r="DD783" i="93"/>
  <c r="DH783" i="93"/>
  <c r="DL783" i="93"/>
  <c r="DP783" i="93"/>
  <c r="DT783" i="93"/>
  <c r="DX783" i="93"/>
  <c r="EB783" i="93"/>
  <c r="EF783" i="93"/>
  <c r="EJ783" i="93"/>
  <c r="EN783" i="93"/>
  <c r="ER783" i="93"/>
  <c r="EV783" i="93"/>
  <c r="EZ783" i="93"/>
  <c r="FD783" i="93"/>
  <c r="FH783" i="93"/>
  <c r="FL783" i="93"/>
  <c r="FP783" i="93"/>
  <c r="FT783" i="93"/>
  <c r="FX783" i="93"/>
  <c r="GB783" i="93"/>
  <c r="GF783" i="93"/>
  <c r="GJ783" i="93"/>
  <c r="GN783" i="93"/>
  <c r="GR783" i="93"/>
  <c r="GV783" i="93"/>
  <c r="GZ783" i="93"/>
  <c r="HD783" i="93"/>
  <c r="HL783" i="93"/>
  <c r="HP783" i="93"/>
  <c r="HT783" i="93"/>
  <c r="HX783" i="93"/>
  <c r="IB783" i="93"/>
  <c r="IF783" i="93"/>
  <c r="IJ783" i="93"/>
  <c r="IN783" i="93"/>
  <c r="IR783" i="93"/>
  <c r="IV783" i="93"/>
  <c r="IZ783" i="93"/>
  <c r="JD783" i="93"/>
  <c r="JH783" i="93"/>
  <c r="JL783" i="93"/>
  <c r="JP783" i="93"/>
  <c r="Y784" i="93"/>
  <c r="AC784" i="93"/>
  <c r="AG784" i="93"/>
  <c r="AK784" i="93"/>
  <c r="AO784" i="93"/>
  <c r="AS784" i="93"/>
  <c r="AW784" i="93"/>
  <c r="BA784" i="93"/>
  <c r="BE784" i="93"/>
  <c r="BI784" i="93"/>
  <c r="BM784" i="93"/>
  <c r="BQ784" i="93"/>
  <c r="BU784" i="93"/>
  <c r="BY784" i="93"/>
  <c r="CC784" i="93"/>
  <c r="CG784" i="93"/>
  <c r="CK784" i="93"/>
  <c r="CO784" i="93"/>
  <c r="CS784" i="93"/>
  <c r="CW784" i="93"/>
  <c r="DA784" i="93"/>
  <c r="DE784" i="93"/>
  <c r="DI784" i="93"/>
  <c r="DM784" i="93"/>
  <c r="DQ784" i="93"/>
  <c r="DU784" i="93"/>
  <c r="DY784" i="93"/>
  <c r="EC784" i="93"/>
  <c r="EG784" i="93"/>
  <c r="EK784" i="93"/>
  <c r="EO784" i="93"/>
  <c r="ES784" i="93"/>
  <c r="EW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IK784" i="93"/>
  <c r="IO784" i="93"/>
  <c r="IS784" i="93"/>
  <c r="IW784" i="93"/>
  <c r="JA784" i="93"/>
  <c r="JE784" i="93"/>
  <c r="JI784" i="93"/>
  <c r="JM784" i="93"/>
  <c r="JQ784" i="93"/>
  <c r="X787" i="93"/>
  <c r="AB787" i="93"/>
  <c r="AF787" i="93"/>
  <c r="AJ787" i="93"/>
  <c r="AN787" i="93"/>
  <c r="AR787" i="93"/>
  <c r="AV787" i="93"/>
  <c r="AZ787" i="93"/>
  <c r="BD787" i="93"/>
  <c r="BH787" i="93"/>
  <c r="BL787" i="93"/>
  <c r="BP787" i="93"/>
  <c r="BT787" i="93"/>
  <c r="CB787" i="93"/>
  <c r="CF787" i="93"/>
  <c r="CJ787" i="93"/>
  <c r="CN787" i="93"/>
  <c r="CR787" i="93"/>
  <c r="DD787" i="93"/>
  <c r="DH787" i="93"/>
  <c r="DL787" i="93"/>
  <c r="DP787" i="93"/>
  <c r="DT787" i="93"/>
  <c r="DX787" i="93"/>
  <c r="EB787" i="93"/>
  <c r="EF787" i="93"/>
  <c r="EJ787" i="93"/>
  <c r="EN787" i="93"/>
  <c r="ER787" i="93"/>
  <c r="EV787" i="93"/>
  <c r="EZ787" i="93"/>
  <c r="FD787" i="93"/>
  <c r="FH787" i="93"/>
  <c r="FL787" i="93"/>
  <c r="FP787" i="93"/>
  <c r="FT787" i="93"/>
  <c r="FX787" i="93"/>
  <c r="GB787" i="93"/>
  <c r="GF787" i="93"/>
  <c r="GJ787" i="93"/>
  <c r="GN787" i="93"/>
  <c r="GR787" i="93"/>
  <c r="GV787" i="93"/>
  <c r="GZ787" i="93"/>
  <c r="HD787" i="93"/>
  <c r="HH787" i="93"/>
  <c r="HL787" i="93"/>
  <c r="HP787" i="93"/>
  <c r="HT787" i="93"/>
  <c r="HX787" i="93"/>
  <c r="IF787" i="93"/>
  <c r="IJ787" i="93"/>
  <c r="IN787" i="93"/>
  <c r="IR787" i="93"/>
  <c r="IV787" i="93"/>
  <c r="IZ787" i="93"/>
  <c r="JD787" i="93"/>
  <c r="JH787" i="93"/>
  <c r="JL787" i="93"/>
  <c r="JP787" i="93"/>
  <c r="JP788" i="93"/>
  <c r="JL788" i="93"/>
  <c r="JH788" i="93"/>
  <c r="JD788" i="93"/>
  <c r="IZ788" i="93"/>
  <c r="IV788" i="93"/>
  <c r="Y788" i="93"/>
  <c r="AC788" i="93"/>
  <c r="AG788" i="93"/>
  <c r="AK788" i="93"/>
  <c r="AO788" i="93"/>
  <c r="AS788" i="93"/>
  <c r="AW788" i="93"/>
  <c r="BA788" i="93"/>
  <c r="BE788" i="93"/>
  <c r="BI788" i="93"/>
  <c r="BM788" i="93"/>
  <c r="BQ788" i="93"/>
  <c r="BU788" i="93"/>
  <c r="BY788" i="93"/>
  <c r="CC788" i="93"/>
  <c r="CG788" i="93"/>
  <c r="CK788" i="93"/>
  <c r="CO788" i="93"/>
  <c r="CS788" i="93"/>
  <c r="CW788" i="93"/>
  <c r="DA788" i="93"/>
  <c r="DE788" i="93"/>
  <c r="DI788" i="93"/>
  <c r="DM788" i="93"/>
  <c r="DQ788" i="93"/>
  <c r="DU788" i="93"/>
  <c r="DY788" i="93"/>
  <c r="EC788" i="93"/>
  <c r="EG788" i="93"/>
  <c r="EK788" i="93"/>
  <c r="EO788" i="93"/>
  <c r="ES788" i="93"/>
  <c r="EW788" i="93"/>
  <c r="FA788" i="93"/>
  <c r="FE788" i="93"/>
  <c r="FI788" i="93"/>
  <c r="FM788" i="93"/>
  <c r="FQ788" i="93"/>
  <c r="FU788" i="93"/>
  <c r="FY788" i="93"/>
  <c r="GC788" i="93"/>
  <c r="GG788" i="93"/>
  <c r="GK788" i="93"/>
  <c r="GO788" i="93"/>
  <c r="GS788" i="93"/>
  <c r="GW788" i="93"/>
  <c r="HA788" i="93"/>
  <c r="HE788" i="93"/>
  <c r="HI788" i="93"/>
  <c r="HM788" i="93"/>
  <c r="HQ788" i="93"/>
  <c r="HU788" i="93"/>
  <c r="HY788" i="93"/>
  <c r="IC788" i="93"/>
  <c r="IK788" i="93"/>
  <c r="IO788" i="93"/>
  <c r="IS788" i="93"/>
  <c r="IX788" i="93"/>
  <c r="JC788" i="93"/>
  <c r="JI788" i="93"/>
  <c r="JN788" i="93"/>
  <c r="IG789" i="93"/>
  <c r="Z789" i="93"/>
  <c r="AE789" i="93"/>
  <c r="AJ789" i="93"/>
  <c r="AP789" i="93"/>
  <c r="AU789" i="93"/>
  <c r="AZ789" i="93"/>
  <c r="BF789" i="93"/>
  <c r="BK789" i="93"/>
  <c r="BP789" i="93"/>
  <c r="CA789" i="93"/>
  <c r="CF789" i="93"/>
  <c r="CL789" i="93"/>
  <c r="CQ789" i="93"/>
  <c r="CV789" i="93"/>
  <c r="DG789" i="93"/>
  <c r="DL789" i="93"/>
  <c r="DR789" i="93"/>
  <c r="DW789" i="93"/>
  <c r="EB789" i="93"/>
  <c r="EH789" i="93"/>
  <c r="EM789" i="93"/>
  <c r="ER789" i="93"/>
  <c r="IE789" i="93"/>
  <c r="IJ789" i="93"/>
  <c r="IP789" i="93"/>
  <c r="IU789" i="93"/>
  <c r="IZ789" i="93"/>
  <c r="IE791" i="93"/>
  <c r="A791" i="93"/>
  <c r="IH791" i="93"/>
  <c r="ID791" i="93"/>
  <c r="AB791" i="93"/>
  <c r="AG791" i="93"/>
  <c r="AL791" i="93"/>
  <c r="CC791" i="93"/>
  <c r="CH791" i="93"/>
  <c r="CN791" i="93"/>
  <c r="CS791" i="93"/>
  <c r="DD791" i="93"/>
  <c r="DI791" i="93"/>
  <c r="DN791" i="93"/>
  <c r="DT791" i="93"/>
  <c r="DY791" i="93"/>
  <c r="ED791" i="93"/>
  <c r="EK791" i="93"/>
  <c r="ES791" i="93"/>
  <c r="IK791" i="93"/>
  <c r="IS791" i="93"/>
  <c r="JP793" i="93"/>
  <c r="JL793" i="93"/>
  <c r="JH793" i="93"/>
  <c r="JD793" i="93"/>
  <c r="IB793" i="93"/>
  <c r="AA793" i="93"/>
  <c r="AI793" i="93"/>
  <c r="AQ793" i="93"/>
  <c r="AY793" i="93"/>
  <c r="BG793" i="93"/>
  <c r="BO793" i="93"/>
  <c r="BW793" i="93"/>
  <c r="CE793" i="93"/>
  <c r="CM793" i="93"/>
  <c r="CU793" i="93"/>
  <c r="DC793" i="93"/>
  <c r="DK793" i="93"/>
  <c r="DS793" i="93"/>
  <c r="EA793" i="93"/>
  <c r="EI793" i="93"/>
  <c r="EQ793" i="93"/>
  <c r="II793" i="93"/>
  <c r="IQ793" i="93"/>
  <c r="IY793" i="93"/>
  <c r="JG793" i="93"/>
  <c r="JO793" i="93"/>
  <c r="CZ794" i="93"/>
  <c r="FD794" i="93"/>
  <c r="FL794" i="93"/>
  <c r="FT794" i="93"/>
  <c r="GB794" i="93"/>
  <c r="GJ794" i="93"/>
  <c r="GR794" i="93"/>
  <c r="GZ794" i="93"/>
  <c r="HH794" i="93"/>
  <c r="HP794" i="93"/>
  <c r="HX794" i="93"/>
  <c r="JD794" i="93"/>
  <c r="JL794" i="93"/>
  <c r="JO795" i="93"/>
  <c r="JK795" i="93"/>
  <c r="JG795" i="93"/>
  <c r="JC795" i="93"/>
  <c r="IY795" i="93"/>
  <c r="IU795" i="93"/>
  <c r="IQ795" i="93"/>
  <c r="IM795" i="93"/>
  <c r="II795" i="93"/>
  <c r="IA795" i="93"/>
  <c r="HW795" i="93"/>
  <c r="HS795" i="93"/>
  <c r="HO795" i="93"/>
  <c r="HK795" i="93"/>
  <c r="HG795" i="93"/>
  <c r="HC795" i="93"/>
  <c r="GY795" i="93"/>
  <c r="GU795" i="93"/>
  <c r="GQ795" i="93"/>
  <c r="GM795" i="93"/>
  <c r="GI795" i="93"/>
  <c r="GE795" i="93"/>
  <c r="GA795" i="93"/>
  <c r="FW795" i="93"/>
  <c r="FS795" i="93"/>
  <c r="FO795" i="93"/>
  <c r="FK795" i="93"/>
  <c r="FG795" i="93"/>
  <c r="FC795" i="93"/>
  <c r="EY795" i="93"/>
  <c r="EU795" i="93"/>
  <c r="EQ795" i="93"/>
  <c r="EM795" i="93"/>
  <c r="EI795" i="93"/>
  <c r="EE795" i="93"/>
  <c r="EA795" i="93"/>
  <c r="DW795" i="93"/>
  <c r="DS795" i="93"/>
  <c r="DO795" i="93"/>
  <c r="DK795" i="93"/>
  <c r="DG795" i="93"/>
  <c r="DC795" i="93"/>
  <c r="CY795" i="93"/>
  <c r="CU795" i="93"/>
  <c r="CQ795" i="93"/>
  <c r="CM795" i="93"/>
  <c r="CI795" i="93"/>
  <c r="CE795" i="93"/>
  <c r="CA795" i="93"/>
  <c r="BW795" i="93"/>
  <c r="BS795" i="93"/>
  <c r="BO795" i="93"/>
  <c r="BK795" i="93"/>
  <c r="BG795" i="93"/>
  <c r="BC795" i="93"/>
  <c r="AY795" i="93"/>
  <c r="AU795" i="93"/>
  <c r="AQ795" i="93"/>
  <c r="AM795" i="93"/>
  <c r="AI795" i="93"/>
  <c r="AE795" i="93"/>
  <c r="AA795" i="93"/>
  <c r="W795" i="93"/>
  <c r="JN795" i="93"/>
  <c r="JJ795" i="93"/>
  <c r="JF795" i="93"/>
  <c r="JB795" i="93"/>
  <c r="IX795" i="93"/>
  <c r="IT795" i="93"/>
  <c r="IP795" i="93"/>
  <c r="IL795" i="93"/>
  <c r="HZ795" i="93"/>
  <c r="HV795" i="93"/>
  <c r="HR795" i="93"/>
  <c r="HN795" i="93"/>
  <c r="HJ795" i="93"/>
  <c r="HF795" i="93"/>
  <c r="HB795" i="93"/>
  <c r="GX795" i="93"/>
  <c r="GT795" i="93"/>
  <c r="GP795" i="93"/>
  <c r="GL795" i="93"/>
  <c r="GH795" i="93"/>
  <c r="GD795" i="93"/>
  <c r="FZ795" i="93"/>
  <c r="FV795" i="93"/>
  <c r="FR795" i="93"/>
  <c r="FN795" i="93"/>
  <c r="FJ795" i="93"/>
  <c r="FF795" i="93"/>
  <c r="FB795" i="93"/>
  <c r="EX795" i="93"/>
  <c r="ET795" i="93"/>
  <c r="EP795" i="93"/>
  <c r="EL795" i="93"/>
  <c r="EH795" i="93"/>
  <c r="ED795" i="93"/>
  <c r="DZ795" i="93"/>
  <c r="DV795" i="93"/>
  <c r="DR795" i="93"/>
  <c r="DN795" i="93"/>
  <c r="DJ795" i="93"/>
  <c r="DF795" i="93"/>
  <c r="DB795" i="93"/>
  <c r="CX795" i="93"/>
  <c r="CT795" i="93"/>
  <c r="CP795" i="93"/>
  <c r="CL795" i="93"/>
  <c r="CH795" i="93"/>
  <c r="CD795" i="93"/>
  <c r="BZ795" i="93"/>
  <c r="BV795" i="93"/>
  <c r="BR795" i="93"/>
  <c r="BN795" i="93"/>
  <c r="BJ795" i="93"/>
  <c r="BF795" i="93"/>
  <c r="BB795" i="93"/>
  <c r="AX795" i="93"/>
  <c r="AT795" i="93"/>
  <c r="AP795" i="93"/>
  <c r="AL795" i="93"/>
  <c r="AH795" i="93"/>
  <c r="AD795" i="93"/>
  <c r="Z795" i="93"/>
  <c r="JQ795" i="93"/>
  <c r="JM795" i="93"/>
  <c r="JI795" i="93"/>
  <c r="JE795" i="93"/>
  <c r="JA795" i="93"/>
  <c r="IW795" i="93"/>
  <c r="IS795" i="93"/>
  <c r="IO795" i="93"/>
  <c r="IK795" i="93"/>
  <c r="IC795" i="93"/>
  <c r="HY795" i="93"/>
  <c r="HU795" i="93"/>
  <c r="HQ795" i="93"/>
  <c r="HM795" i="93"/>
  <c r="HI795" i="93"/>
  <c r="HE795" i="93"/>
  <c r="HA795" i="93"/>
  <c r="GW795" i="93"/>
  <c r="GS795" i="93"/>
  <c r="GO795" i="93"/>
  <c r="GK795" i="93"/>
  <c r="GG795" i="93"/>
  <c r="GC795" i="93"/>
  <c r="FY795" i="93"/>
  <c r="FU795" i="93"/>
  <c r="FQ795" i="93"/>
  <c r="FM795" i="93"/>
  <c r="FI795" i="93"/>
  <c r="FE795" i="93"/>
  <c r="FA795" i="93"/>
  <c r="EW795" i="93"/>
  <c r="ES795" i="93"/>
  <c r="EO795" i="93"/>
  <c r="EK795" i="93"/>
  <c r="EG795" i="93"/>
  <c r="EC795" i="93"/>
  <c r="DY795" i="93"/>
  <c r="DU795" i="93"/>
  <c r="DQ795" i="93"/>
  <c r="DM795" i="93"/>
  <c r="DI795" i="93"/>
  <c r="DE795" i="93"/>
  <c r="DA795" i="93"/>
  <c r="CW795" i="93"/>
  <c r="CS795" i="93"/>
  <c r="CO795" i="93"/>
  <c r="CK795" i="93"/>
  <c r="CG795" i="93"/>
  <c r="CC795" i="93"/>
  <c r="BY795" i="93"/>
  <c r="BU795" i="93"/>
  <c r="Y795" i="93"/>
  <c r="AG795" i="93"/>
  <c r="AO795" i="93"/>
  <c r="AW795" i="93"/>
  <c r="BE795" i="93"/>
  <c r="BM795" i="93"/>
  <c r="BX795" i="93"/>
  <c r="CN795" i="93"/>
  <c r="DD795" i="93"/>
  <c r="DT795" i="93"/>
  <c r="EJ795" i="93"/>
  <c r="EZ795" i="93"/>
  <c r="FP795" i="93"/>
  <c r="GF795" i="93"/>
  <c r="GV795" i="93"/>
  <c r="HL795" i="93"/>
  <c r="IB795" i="93"/>
  <c r="IR795" i="93"/>
  <c r="JH795" i="93"/>
  <c r="JP796" i="93"/>
  <c r="JL796" i="93"/>
  <c r="JH796" i="93"/>
  <c r="JD796" i="93"/>
  <c r="IZ796" i="93"/>
  <c r="IV796" i="93"/>
  <c r="IR796" i="93"/>
  <c r="IN796" i="93"/>
  <c r="IJ796" i="93"/>
  <c r="IB796" i="93"/>
  <c r="HX796" i="93"/>
  <c r="HT796" i="93"/>
  <c r="HP796" i="93"/>
  <c r="HL796" i="93"/>
  <c r="HH796" i="93"/>
  <c r="HD796" i="93"/>
  <c r="JO796" i="93"/>
  <c r="JK796" i="93"/>
  <c r="JG796" i="93"/>
  <c r="JC796" i="93"/>
  <c r="IY796" i="93"/>
  <c r="IU796" i="93"/>
  <c r="IQ796" i="93"/>
  <c r="IM796" i="93"/>
  <c r="II796" i="93"/>
  <c r="IA796" i="93"/>
  <c r="HW796" i="93"/>
  <c r="HS796" i="93"/>
  <c r="HO796" i="93"/>
  <c r="HK796" i="93"/>
  <c r="JN796" i="93"/>
  <c r="JF796" i="93"/>
  <c r="IX796" i="93"/>
  <c r="IP796" i="93"/>
  <c r="HZ796" i="93"/>
  <c r="HR796" i="93"/>
  <c r="HJ796" i="93"/>
  <c r="HE796" i="93"/>
  <c r="GZ796" i="93"/>
  <c r="GV796" i="93"/>
  <c r="GR796" i="93"/>
  <c r="GN796" i="93"/>
  <c r="GJ796" i="93"/>
  <c r="GF796" i="93"/>
  <c r="GB796" i="93"/>
  <c r="FX796" i="93"/>
  <c r="FT796" i="93"/>
  <c r="FP796" i="93"/>
  <c r="FL796" i="93"/>
  <c r="FH796" i="93"/>
  <c r="FD796" i="93"/>
  <c r="EZ796" i="93"/>
  <c r="EV796" i="93"/>
  <c r="ER796" i="93"/>
  <c r="EN796" i="93"/>
  <c r="EJ796" i="93"/>
  <c r="EF796" i="93"/>
  <c r="EB796" i="93"/>
  <c r="DX796" i="93"/>
  <c r="DT796" i="93"/>
  <c r="DP796" i="93"/>
  <c r="DL796" i="93"/>
  <c r="DH796" i="93"/>
  <c r="DD796" i="93"/>
  <c r="CZ796" i="93"/>
  <c r="CV796" i="93"/>
  <c r="CR796" i="93"/>
  <c r="CN796" i="93"/>
  <c r="CJ796" i="93"/>
  <c r="CF796" i="93"/>
  <c r="CB796" i="93"/>
  <c r="BX796" i="93"/>
  <c r="BT796" i="93"/>
  <c r="BP796" i="93"/>
  <c r="BL796" i="93"/>
  <c r="BH796" i="93"/>
  <c r="BD796" i="93"/>
  <c r="AZ796" i="93"/>
  <c r="AV796" i="93"/>
  <c r="AR796" i="93"/>
  <c r="AN796" i="93"/>
  <c r="AJ796" i="93"/>
  <c r="AF796" i="93"/>
  <c r="AB796" i="93"/>
  <c r="X796" i="93"/>
  <c r="JM796" i="93"/>
  <c r="JE796" i="93"/>
  <c r="IW796" i="93"/>
  <c r="IO796" i="93"/>
  <c r="IG796" i="93"/>
  <c r="HY796" i="93"/>
  <c r="HQ796" i="93"/>
  <c r="HI796" i="93"/>
  <c r="HC796" i="93"/>
  <c r="GY796" i="93"/>
  <c r="GU796" i="93"/>
  <c r="GQ796" i="93"/>
  <c r="GM796" i="93"/>
  <c r="GI796" i="93"/>
  <c r="GE796" i="93"/>
  <c r="GA796" i="93"/>
  <c r="FW796" i="93"/>
  <c r="FS796" i="93"/>
  <c r="FO796" i="93"/>
  <c r="FK796" i="93"/>
  <c r="FG796" i="93"/>
  <c r="FC796" i="93"/>
  <c r="EY796" i="93"/>
  <c r="EU796" i="93"/>
  <c r="EQ796" i="93"/>
  <c r="EM796" i="93"/>
  <c r="EI796" i="93"/>
  <c r="EE796" i="93"/>
  <c r="EA796" i="93"/>
  <c r="DW796" i="93"/>
  <c r="DS796" i="93"/>
  <c r="DO796" i="93"/>
  <c r="DK796" i="93"/>
  <c r="DG796" i="93"/>
  <c r="DC796" i="93"/>
  <c r="CY796" i="93"/>
  <c r="CU796" i="93"/>
  <c r="CQ796" i="93"/>
  <c r="CM796" i="93"/>
  <c r="CI796" i="93"/>
  <c r="CE796" i="93"/>
  <c r="CA796" i="93"/>
  <c r="BW796" i="93"/>
  <c r="BS796" i="93"/>
  <c r="BO796" i="93"/>
  <c r="BK796" i="93"/>
  <c r="BG796" i="93"/>
  <c r="BC796" i="93"/>
  <c r="AY796" i="93"/>
  <c r="AU796" i="93"/>
  <c r="AQ796" i="93"/>
  <c r="AM796" i="93"/>
  <c r="AI796" i="93"/>
  <c r="AE796" i="93"/>
  <c r="AA796" i="93"/>
  <c r="W796" i="93"/>
  <c r="A796" i="93"/>
  <c r="JJ796" i="93"/>
  <c r="JB796" i="93"/>
  <c r="IT796" i="93"/>
  <c r="IL796" i="93"/>
  <c r="ID796" i="93"/>
  <c r="HV796" i="93"/>
  <c r="HN796" i="93"/>
  <c r="HG796" i="93"/>
  <c r="HB796" i="93"/>
  <c r="GX796" i="93"/>
  <c r="GT796" i="93"/>
  <c r="GP796" i="93"/>
  <c r="GL796" i="93"/>
  <c r="GH796" i="93"/>
  <c r="GD796" i="93"/>
  <c r="FZ796" i="93"/>
  <c r="FV796" i="93"/>
  <c r="FR796" i="93"/>
  <c r="FN796" i="93"/>
  <c r="FJ796" i="93"/>
  <c r="FF796" i="93"/>
  <c r="FB796" i="93"/>
  <c r="EX796" i="93"/>
  <c r="ET796" i="93"/>
  <c r="EP796" i="93"/>
  <c r="EL796" i="93"/>
  <c r="EH796" i="93"/>
  <c r="ED796" i="93"/>
  <c r="DZ796" i="93"/>
  <c r="DV796" i="93"/>
  <c r="DR796" i="93"/>
  <c r="DN796" i="93"/>
  <c r="DJ796" i="93"/>
  <c r="DF796" i="93"/>
  <c r="DB796" i="93"/>
  <c r="CX796" i="93"/>
  <c r="CT796" i="93"/>
  <c r="CP796" i="93"/>
  <c r="CL796" i="93"/>
  <c r="CH796" i="93"/>
  <c r="CD796" i="93"/>
  <c r="BZ796" i="93"/>
  <c r="BV796" i="93"/>
  <c r="BR796" i="93"/>
  <c r="BN796" i="93"/>
  <c r="BJ796" i="93"/>
  <c r="BF796" i="93"/>
  <c r="BB796" i="93"/>
  <c r="AX796" i="93"/>
  <c r="AT796" i="93"/>
  <c r="AP796" i="93"/>
  <c r="AL796" i="93"/>
  <c r="AH796" i="93"/>
  <c r="AD796" i="93"/>
  <c r="Z796" i="93"/>
  <c r="AG796" i="93"/>
  <c r="AW796" i="93"/>
  <c r="BM796" i="93"/>
  <c r="CC796" i="93"/>
  <c r="CS796" i="93"/>
  <c r="DI796" i="93"/>
  <c r="DY796" i="93"/>
  <c r="EO796" i="93"/>
  <c r="FE796" i="93"/>
  <c r="FU796" i="93"/>
  <c r="GK796" i="93"/>
  <c r="HA796" i="93"/>
  <c r="IC796" i="93"/>
  <c r="JI796" i="93"/>
  <c r="A797" i="93"/>
  <c r="K797" i="93"/>
  <c r="A800" i="93"/>
  <c r="DP800" i="93"/>
  <c r="IN800" i="93"/>
  <c r="BZ802" i="93"/>
  <c r="GX802" i="93"/>
  <c r="Y783" i="93"/>
  <c r="AC783" i="93"/>
  <c r="AG783" i="93"/>
  <c r="AK783" i="93"/>
  <c r="AO783" i="93"/>
  <c r="AS783" i="93"/>
  <c r="AW783" i="93"/>
  <c r="BA783" i="93"/>
  <c r="BE783" i="93"/>
  <c r="BI783" i="93"/>
  <c r="BM783" i="93"/>
  <c r="BQ783" i="93"/>
  <c r="BU783" i="93"/>
  <c r="BY783" i="93"/>
  <c r="CC783" i="93"/>
  <c r="CG783" i="93"/>
  <c r="CK783" i="93"/>
  <c r="CO783" i="93"/>
  <c r="CS783" i="93"/>
  <c r="CW783" i="93"/>
  <c r="DA783" i="93"/>
  <c r="DE783" i="93"/>
  <c r="DI783" i="93"/>
  <c r="DM783" i="93"/>
  <c r="DQ783" i="93"/>
  <c r="DU783" i="93"/>
  <c r="DY783" i="93"/>
  <c r="EC783" i="93"/>
  <c r="EG783" i="93"/>
  <c r="EK783" i="93"/>
  <c r="EO783" i="93"/>
  <c r="ES783" i="93"/>
  <c r="EW783" i="93"/>
  <c r="FA783" i="93"/>
  <c r="FE783" i="93"/>
  <c r="FI783" i="93"/>
  <c r="FM783" i="93"/>
  <c r="FQ783" i="93"/>
  <c r="FU783" i="93"/>
  <c r="FY783" i="93"/>
  <c r="GC783" i="93"/>
  <c r="GG783" i="93"/>
  <c r="GK783" i="93"/>
  <c r="GO783" i="93"/>
  <c r="GS783" i="93"/>
  <c r="GW783" i="93"/>
  <c r="HA783" i="93"/>
  <c r="HE783" i="93"/>
  <c r="HI783" i="93"/>
  <c r="HM783" i="93"/>
  <c r="HQ783" i="93"/>
  <c r="HU783" i="93"/>
  <c r="HY783" i="93"/>
  <c r="IC783" i="93"/>
  <c r="IK783" i="93"/>
  <c r="IO783" i="93"/>
  <c r="IS783" i="93"/>
  <c r="IW783" i="93"/>
  <c r="JA783" i="93"/>
  <c r="JE783" i="93"/>
  <c r="JI783" i="93"/>
  <c r="JM783" i="93"/>
  <c r="Z784" i="93"/>
  <c r="AD784" i="93"/>
  <c r="AH784" i="93"/>
  <c r="AL784" i="93"/>
  <c r="AP784" i="93"/>
  <c r="AT784" i="93"/>
  <c r="AX784" i="93"/>
  <c r="BB784" i="93"/>
  <c r="BF784" i="93"/>
  <c r="BJ784" i="93"/>
  <c r="BN784" i="93"/>
  <c r="BR784" i="93"/>
  <c r="BV784" i="93"/>
  <c r="BZ784" i="93"/>
  <c r="CD784" i="93"/>
  <c r="CH784" i="93"/>
  <c r="CL784" i="93"/>
  <c r="CP784" i="93"/>
  <c r="CT784" i="93"/>
  <c r="CX784" i="93"/>
  <c r="DB784" i="93"/>
  <c r="DF784" i="93"/>
  <c r="DJ784" i="93"/>
  <c r="DN784" i="93"/>
  <c r="DR784" i="93"/>
  <c r="DV784" i="93"/>
  <c r="DZ784" i="93"/>
  <c r="ED784" i="93"/>
  <c r="EH784" i="93"/>
  <c r="EL784" i="93"/>
  <c r="EP784" i="93"/>
  <c r="ET784" i="93"/>
  <c r="EX784" i="93"/>
  <c r="FB784" i="93"/>
  <c r="FF784" i="93"/>
  <c r="FJ784" i="93"/>
  <c r="FN784" i="93"/>
  <c r="FR784" i="93"/>
  <c r="FV784" i="93"/>
  <c r="FZ784" i="93"/>
  <c r="GD784" i="93"/>
  <c r="GH784" i="93"/>
  <c r="GL784" i="93"/>
  <c r="GP784" i="93"/>
  <c r="GT784" i="93"/>
  <c r="GX784" i="93"/>
  <c r="HB784" i="93"/>
  <c r="HF784" i="93"/>
  <c r="HJ784" i="93"/>
  <c r="HN784" i="93"/>
  <c r="HR784" i="93"/>
  <c r="HV784" i="93"/>
  <c r="HZ784" i="93"/>
  <c r="IL784" i="93"/>
  <c r="IP784" i="93"/>
  <c r="IT784" i="93"/>
  <c r="IX784" i="93"/>
  <c r="JB784" i="93"/>
  <c r="JF784" i="93"/>
  <c r="JJ784" i="93"/>
  <c r="Y787" i="93"/>
  <c r="AC787" i="93"/>
  <c r="AG787" i="93"/>
  <c r="AK787" i="93"/>
  <c r="AO787" i="93"/>
  <c r="AS787" i="93"/>
  <c r="AW787" i="93"/>
  <c r="BA787" i="93"/>
  <c r="BE787" i="93"/>
  <c r="BI787" i="93"/>
  <c r="BM787" i="93"/>
  <c r="BQ787" i="93"/>
  <c r="BU787" i="93"/>
  <c r="BY787" i="93"/>
  <c r="CC787" i="93"/>
  <c r="CG787" i="93"/>
  <c r="CK787" i="93"/>
  <c r="CO787" i="93"/>
  <c r="CS787" i="93"/>
  <c r="CW787" i="93"/>
  <c r="DA787" i="93"/>
  <c r="DE787" i="93"/>
  <c r="DI787" i="93"/>
  <c r="DM787" i="93"/>
  <c r="DQ787" i="93"/>
  <c r="DU787" i="93"/>
  <c r="DY787" i="93"/>
  <c r="EC787" i="93"/>
  <c r="EG787" i="93"/>
  <c r="EK787" i="93"/>
  <c r="EO787" i="93"/>
  <c r="ES787" i="93"/>
  <c r="EW787" i="93"/>
  <c r="FA787" i="93"/>
  <c r="FE787" i="93"/>
  <c r="FI787" i="93"/>
  <c r="FM787" i="93"/>
  <c r="FQ787" i="93"/>
  <c r="FU787" i="93"/>
  <c r="FY787" i="93"/>
  <c r="GC787" i="93"/>
  <c r="GG787" i="93"/>
  <c r="GK787" i="93"/>
  <c r="GO787" i="93"/>
  <c r="GS787" i="93"/>
  <c r="GW787" i="93"/>
  <c r="HA787" i="93"/>
  <c r="HE787" i="93"/>
  <c r="HI787" i="93"/>
  <c r="HM787" i="93"/>
  <c r="HQ787" i="93"/>
  <c r="HU787" i="93"/>
  <c r="HY787" i="93"/>
  <c r="IC787" i="93"/>
  <c r="IK787" i="93"/>
  <c r="IO787" i="93"/>
  <c r="IS787" i="93"/>
  <c r="IW787" i="93"/>
  <c r="JA787" i="93"/>
  <c r="JE787" i="93"/>
  <c r="JI787" i="93"/>
  <c r="JM787" i="93"/>
  <c r="Z788" i="93"/>
  <c r="AD788" i="93"/>
  <c r="AH788" i="93"/>
  <c r="AL788" i="93"/>
  <c r="AP788" i="93"/>
  <c r="AT788" i="93"/>
  <c r="AX788" i="93"/>
  <c r="BB788" i="93"/>
  <c r="BF788" i="93"/>
  <c r="BJ788" i="93"/>
  <c r="BN788" i="93"/>
  <c r="BR788" i="93"/>
  <c r="BV788" i="93"/>
  <c r="BZ788" i="93"/>
  <c r="CD788" i="93"/>
  <c r="CH788" i="93"/>
  <c r="CL788" i="93"/>
  <c r="CP788" i="93"/>
  <c r="CT788" i="93"/>
  <c r="CX788" i="93"/>
  <c r="DB788" i="93"/>
  <c r="DF788" i="93"/>
  <c r="DJ788" i="93"/>
  <c r="DN788" i="93"/>
  <c r="DR788" i="93"/>
  <c r="DV788" i="93"/>
  <c r="DZ788" i="93"/>
  <c r="ED788" i="93"/>
  <c r="EH788" i="93"/>
  <c r="EL788" i="93"/>
  <c r="EP788" i="93"/>
  <c r="ET788" i="93"/>
  <c r="EX788" i="93"/>
  <c r="FB788" i="93"/>
  <c r="FF788" i="93"/>
  <c r="FJ788" i="93"/>
  <c r="FN788" i="93"/>
  <c r="FR788" i="93"/>
  <c r="FV788" i="93"/>
  <c r="FZ788" i="93"/>
  <c r="GD788" i="93"/>
  <c r="GH788" i="93"/>
  <c r="GL788" i="93"/>
  <c r="GP788" i="93"/>
  <c r="GT788" i="93"/>
  <c r="GX788" i="93"/>
  <c r="HB788" i="93"/>
  <c r="HF788" i="93"/>
  <c r="HJ788" i="93"/>
  <c r="HN788" i="93"/>
  <c r="HR788" i="93"/>
  <c r="HV788" i="93"/>
  <c r="HZ788" i="93"/>
  <c r="IL788" i="93"/>
  <c r="IP788" i="93"/>
  <c r="IT788" i="93"/>
  <c r="IY788" i="93"/>
  <c r="JE788" i="93"/>
  <c r="JJ788" i="93"/>
  <c r="JO788" i="93"/>
  <c r="JQ789" i="93"/>
  <c r="AA789" i="93"/>
  <c r="AF789" i="93"/>
  <c r="AL789" i="93"/>
  <c r="AQ789" i="93"/>
  <c r="AV789" i="93"/>
  <c r="BB789" i="93"/>
  <c r="BG789" i="93"/>
  <c r="BL789" i="93"/>
  <c r="BR789" i="93"/>
  <c r="CB789" i="93"/>
  <c r="CH789" i="93"/>
  <c r="CM789" i="93"/>
  <c r="CR789" i="93"/>
  <c r="DH789" i="93"/>
  <c r="DN789" i="93"/>
  <c r="DS789" i="93"/>
  <c r="DX789" i="93"/>
  <c r="ED789" i="93"/>
  <c r="EI789" i="93"/>
  <c r="EN789" i="93"/>
  <c r="ET789" i="93"/>
  <c r="IF789" i="93"/>
  <c r="IL789" i="93"/>
  <c r="IQ789" i="93"/>
  <c r="IV789" i="93"/>
  <c r="JB789" i="93"/>
  <c r="L790" i="93"/>
  <c r="JO791" i="93"/>
  <c r="JK791" i="93"/>
  <c r="JG791" i="93"/>
  <c r="JC791" i="93"/>
  <c r="IY791" i="93"/>
  <c r="IU791" i="93"/>
  <c r="IQ791" i="93"/>
  <c r="IM791" i="93"/>
  <c r="II791" i="93"/>
  <c r="IA791" i="93"/>
  <c r="HW791" i="93"/>
  <c r="HS791" i="93"/>
  <c r="HO791" i="93"/>
  <c r="HK791" i="93"/>
  <c r="HG791" i="93"/>
  <c r="HC791" i="93"/>
  <c r="GY791" i="93"/>
  <c r="GU791" i="93"/>
  <c r="GQ791" i="93"/>
  <c r="GM791" i="93"/>
  <c r="GI791" i="93"/>
  <c r="GE791" i="93"/>
  <c r="GA791" i="93"/>
  <c r="FW791" i="93"/>
  <c r="FS791" i="93"/>
  <c r="FO791" i="93"/>
  <c r="FK791" i="93"/>
  <c r="FG791" i="93"/>
  <c r="FC791" i="93"/>
  <c r="EY791" i="93"/>
  <c r="EU791" i="93"/>
  <c r="EQ791" i="93"/>
  <c r="EM791" i="93"/>
  <c r="EI791" i="93"/>
  <c r="EE791" i="93"/>
  <c r="EA791" i="93"/>
  <c r="DW791" i="93"/>
  <c r="DS791" i="93"/>
  <c r="DO791" i="93"/>
  <c r="DK791" i="93"/>
  <c r="DG791" i="93"/>
  <c r="DC791" i="93"/>
  <c r="CY791" i="93"/>
  <c r="CU791" i="93"/>
  <c r="CQ791" i="93"/>
  <c r="CM791" i="93"/>
  <c r="CI791" i="93"/>
  <c r="CE791" i="93"/>
  <c r="CA791" i="93"/>
  <c r="BW791" i="93"/>
  <c r="BS791" i="93"/>
  <c r="BO791" i="93"/>
  <c r="BK791" i="93"/>
  <c r="BG791" i="93"/>
  <c r="BC791" i="93"/>
  <c r="AY791" i="93"/>
  <c r="AU791" i="93"/>
  <c r="AQ791" i="93"/>
  <c r="AM791" i="93"/>
  <c r="AI791" i="93"/>
  <c r="AE791" i="93"/>
  <c r="AA791" i="93"/>
  <c r="W791" i="93"/>
  <c r="JN791" i="93"/>
  <c r="JJ791" i="93"/>
  <c r="JF791" i="93"/>
  <c r="JB791" i="93"/>
  <c r="IX791" i="93"/>
  <c r="IT791" i="93"/>
  <c r="IP791" i="93"/>
  <c r="IL791" i="93"/>
  <c r="HZ791" i="93"/>
  <c r="HV791" i="93"/>
  <c r="HR791" i="93"/>
  <c r="HN791" i="93"/>
  <c r="HJ791" i="93"/>
  <c r="HF791" i="93"/>
  <c r="HB791" i="93"/>
  <c r="GX791" i="93"/>
  <c r="GT791" i="93"/>
  <c r="GP791" i="93"/>
  <c r="GL791" i="93"/>
  <c r="GH791" i="93"/>
  <c r="GD791" i="93"/>
  <c r="FZ791" i="93"/>
  <c r="FV791" i="93"/>
  <c r="FR791" i="93"/>
  <c r="FN791" i="93"/>
  <c r="FJ791" i="93"/>
  <c r="FF791" i="93"/>
  <c r="FB791" i="93"/>
  <c r="EX791" i="93"/>
  <c r="ET791" i="93"/>
  <c r="EP791" i="93"/>
  <c r="EL791" i="93"/>
  <c r="EH791" i="93"/>
  <c r="X791" i="93"/>
  <c r="AC791" i="93"/>
  <c r="AH791" i="93"/>
  <c r="AN791" i="93"/>
  <c r="AS791" i="93"/>
  <c r="AX791" i="93"/>
  <c r="BD791" i="93"/>
  <c r="BI791" i="93"/>
  <c r="BN791" i="93"/>
  <c r="BT791" i="93"/>
  <c r="BY791" i="93"/>
  <c r="CD791" i="93"/>
  <c r="CJ791" i="93"/>
  <c r="CO791" i="93"/>
  <c r="CT791" i="93"/>
  <c r="CZ791" i="93"/>
  <c r="DE791" i="93"/>
  <c r="DJ791" i="93"/>
  <c r="DP791" i="93"/>
  <c r="DU791" i="93"/>
  <c r="DZ791" i="93"/>
  <c r="EF791" i="93"/>
  <c r="EN791" i="93"/>
  <c r="EV791" i="93"/>
  <c r="FD791" i="93"/>
  <c r="FL791" i="93"/>
  <c r="FT791" i="93"/>
  <c r="GB791" i="93"/>
  <c r="GJ791" i="93"/>
  <c r="GR791" i="93"/>
  <c r="GZ791" i="93"/>
  <c r="HH791" i="93"/>
  <c r="HP791" i="93"/>
  <c r="HX791" i="93"/>
  <c r="IF791" i="93"/>
  <c r="IN791" i="93"/>
  <c r="IV791" i="93"/>
  <c r="JD791" i="93"/>
  <c r="JL791" i="93"/>
  <c r="IF792" i="93"/>
  <c r="IG793" i="93"/>
  <c r="CV793" i="93"/>
  <c r="AD793" i="93"/>
  <c r="AL793" i="93"/>
  <c r="AT793" i="93"/>
  <c r="BB793" i="93"/>
  <c r="BJ793" i="93"/>
  <c r="BR793" i="93"/>
  <c r="BZ793" i="93"/>
  <c r="CH793" i="93"/>
  <c r="CP793" i="93"/>
  <c r="CX793" i="93"/>
  <c r="DF793" i="93"/>
  <c r="DN793" i="93"/>
  <c r="DV793" i="93"/>
  <c r="ED793" i="93"/>
  <c r="EL793" i="93"/>
  <c r="ET793" i="93"/>
  <c r="ID793" i="93"/>
  <c r="IL793" i="93"/>
  <c r="IT793" i="93"/>
  <c r="JB793" i="93"/>
  <c r="JJ793" i="93"/>
  <c r="L794" i="93"/>
  <c r="BW794" i="93"/>
  <c r="EY794" i="93"/>
  <c r="FG794" i="93"/>
  <c r="FO794" i="93"/>
  <c r="FW794" i="93"/>
  <c r="GE794" i="93"/>
  <c r="GM794" i="93"/>
  <c r="GU794" i="93"/>
  <c r="HC794" i="93"/>
  <c r="HK794" i="93"/>
  <c r="HS794" i="93"/>
  <c r="JG794" i="93"/>
  <c r="JO794" i="93"/>
  <c r="AB795" i="93"/>
  <c r="AJ795" i="93"/>
  <c r="AR795" i="93"/>
  <c r="AZ795" i="93"/>
  <c r="BH795" i="93"/>
  <c r="BP795" i="93"/>
  <c r="CB795" i="93"/>
  <c r="CR795" i="93"/>
  <c r="DH795" i="93"/>
  <c r="DX795" i="93"/>
  <c r="EN795" i="93"/>
  <c r="FD795" i="93"/>
  <c r="FT795" i="93"/>
  <c r="GJ795" i="93"/>
  <c r="GZ795" i="93"/>
  <c r="HP795" i="93"/>
  <c r="IF795" i="93"/>
  <c r="IV795" i="93"/>
  <c r="JL795" i="93"/>
  <c r="AK796" i="93"/>
  <c r="BA796" i="93"/>
  <c r="BQ796" i="93"/>
  <c r="CG796" i="93"/>
  <c r="CW796" i="93"/>
  <c r="DM796" i="93"/>
  <c r="EC796" i="93"/>
  <c r="ES796" i="93"/>
  <c r="FI796" i="93"/>
  <c r="FY796" i="93"/>
  <c r="GO796" i="93"/>
  <c r="HF796" i="93"/>
  <c r="IK796" i="93"/>
  <c r="JQ796" i="93"/>
  <c r="CV798" i="93"/>
  <c r="IE799" i="93"/>
  <c r="A799" i="93"/>
  <c r="IH799" i="93"/>
  <c r="ID799" i="93"/>
  <c r="IG799" i="93"/>
  <c r="AF799" i="93"/>
  <c r="BL799" i="93"/>
  <c r="CR799" i="93"/>
  <c r="DX799" i="93"/>
  <c r="IV799" i="93"/>
  <c r="EF800" i="93"/>
  <c r="DF802" i="93"/>
  <c r="ID802" i="93"/>
  <c r="K803" i="93"/>
  <c r="JG797" i="93"/>
  <c r="JO797" i="93"/>
  <c r="K798" i="93"/>
  <c r="L798" i="93" s="1"/>
  <c r="FD798" i="93"/>
  <c r="FL798" i="93"/>
  <c r="FT798" i="93"/>
  <c r="GB798" i="93"/>
  <c r="GJ798" i="93"/>
  <c r="GR798" i="93"/>
  <c r="GZ798" i="93"/>
  <c r="HH798" i="93"/>
  <c r="HP798" i="93"/>
  <c r="HX798" i="93"/>
  <c r="JD798" i="93"/>
  <c r="JL798" i="93"/>
  <c r="JO799" i="93"/>
  <c r="JK799" i="93"/>
  <c r="JG799" i="93"/>
  <c r="JC799" i="93"/>
  <c r="IY799" i="93"/>
  <c r="IU799" i="93"/>
  <c r="IQ799" i="93"/>
  <c r="IM799" i="93"/>
  <c r="II799" i="93"/>
  <c r="IA799" i="93"/>
  <c r="HW799" i="93"/>
  <c r="HS799" i="93"/>
  <c r="HO799" i="93"/>
  <c r="HK799" i="93"/>
  <c r="HG799" i="93"/>
  <c r="HC799" i="93"/>
  <c r="GY799" i="93"/>
  <c r="GU799" i="93"/>
  <c r="GQ799" i="93"/>
  <c r="GM799" i="93"/>
  <c r="GI799" i="93"/>
  <c r="GE799" i="93"/>
  <c r="GA799" i="93"/>
  <c r="FW799" i="93"/>
  <c r="FS799" i="93"/>
  <c r="FO799" i="93"/>
  <c r="FK799" i="93"/>
  <c r="FG799" i="93"/>
  <c r="FC799" i="93"/>
  <c r="EY799" i="93"/>
  <c r="EU799" i="93"/>
  <c r="EQ799" i="93"/>
  <c r="EM799" i="93"/>
  <c r="EI799" i="93"/>
  <c r="EE799" i="93"/>
  <c r="EA799" i="93"/>
  <c r="DW799" i="93"/>
  <c r="DS799" i="93"/>
  <c r="DO799" i="93"/>
  <c r="DK799" i="93"/>
  <c r="DG799" i="93"/>
  <c r="DC799" i="93"/>
  <c r="CY799" i="93"/>
  <c r="CU799" i="93"/>
  <c r="CQ799" i="93"/>
  <c r="CM799" i="93"/>
  <c r="CI799" i="93"/>
  <c r="CE799" i="93"/>
  <c r="CA799" i="93"/>
  <c r="BW799" i="93"/>
  <c r="BS799" i="93"/>
  <c r="BO799" i="93"/>
  <c r="BK799" i="93"/>
  <c r="BG799" i="93"/>
  <c r="BC799" i="93"/>
  <c r="AY799" i="93"/>
  <c r="AU799" i="93"/>
  <c r="AQ799" i="93"/>
  <c r="AM799" i="93"/>
  <c r="AI799" i="93"/>
  <c r="AE799" i="93"/>
  <c r="AA799" i="93"/>
  <c r="W799" i="93"/>
  <c r="JN799" i="93"/>
  <c r="JJ799" i="93"/>
  <c r="JF799" i="93"/>
  <c r="JB799" i="93"/>
  <c r="IX799" i="93"/>
  <c r="IT799" i="93"/>
  <c r="IP799" i="93"/>
  <c r="IL799" i="93"/>
  <c r="HZ799" i="93"/>
  <c r="HV799" i="93"/>
  <c r="HR799" i="93"/>
  <c r="HN799" i="93"/>
  <c r="HJ799" i="93"/>
  <c r="HF799" i="93"/>
  <c r="HB799" i="93"/>
  <c r="GX799" i="93"/>
  <c r="GT799" i="93"/>
  <c r="GP799" i="93"/>
  <c r="GL799" i="93"/>
  <c r="GH799" i="93"/>
  <c r="GD799" i="93"/>
  <c r="FZ799" i="93"/>
  <c r="FV799" i="93"/>
  <c r="FR799" i="93"/>
  <c r="FN799" i="93"/>
  <c r="FJ799" i="93"/>
  <c r="FF799" i="93"/>
  <c r="FB799" i="93"/>
  <c r="EX799" i="93"/>
  <c r="ET799" i="93"/>
  <c r="EP799" i="93"/>
  <c r="EL799" i="93"/>
  <c r="EH799" i="93"/>
  <c r="ED799" i="93"/>
  <c r="DZ799" i="93"/>
  <c r="DV799" i="93"/>
  <c r="DR799" i="93"/>
  <c r="DN799" i="93"/>
  <c r="DJ799" i="93"/>
  <c r="DF799" i="93"/>
  <c r="DB799" i="93"/>
  <c r="CX799" i="93"/>
  <c r="CT799" i="93"/>
  <c r="CP799" i="93"/>
  <c r="CL799" i="93"/>
  <c r="CH799" i="93"/>
  <c r="CD799" i="93"/>
  <c r="BZ799" i="93"/>
  <c r="BV799" i="93"/>
  <c r="BR799" i="93"/>
  <c r="BN799" i="93"/>
  <c r="BJ799" i="93"/>
  <c r="BF799" i="93"/>
  <c r="BB799" i="93"/>
  <c r="AX799" i="93"/>
  <c r="AT799" i="93"/>
  <c r="AP799" i="93"/>
  <c r="AL799" i="93"/>
  <c r="AH799" i="93"/>
  <c r="AD799" i="93"/>
  <c r="Z799" i="93"/>
  <c r="Y799" i="93"/>
  <c r="AG799" i="93"/>
  <c r="AO799" i="93"/>
  <c r="AW799" i="93"/>
  <c r="BE799" i="93"/>
  <c r="BM799" i="93"/>
  <c r="BU799" i="93"/>
  <c r="CC799" i="93"/>
  <c r="CK799" i="93"/>
  <c r="CS799" i="93"/>
  <c r="DA799" i="93"/>
  <c r="DI799" i="93"/>
  <c r="DQ799" i="93"/>
  <c r="DY799" i="93"/>
  <c r="EG799" i="93"/>
  <c r="EO799" i="93"/>
  <c r="EW799" i="93"/>
  <c r="FE799" i="93"/>
  <c r="FM799" i="93"/>
  <c r="FU799" i="93"/>
  <c r="GC799" i="93"/>
  <c r="GK799" i="93"/>
  <c r="GS799" i="93"/>
  <c r="HA799" i="93"/>
  <c r="HI799" i="93"/>
  <c r="HQ799" i="93"/>
  <c r="HY799" i="93"/>
  <c r="IO799" i="93"/>
  <c r="IW799" i="93"/>
  <c r="JE799" i="93"/>
  <c r="JM799" i="93"/>
  <c r="JN800" i="93"/>
  <c r="JJ800" i="93"/>
  <c r="JF800" i="93"/>
  <c r="JB800" i="93"/>
  <c r="IX800" i="93"/>
  <c r="IT800" i="93"/>
  <c r="IP800" i="93"/>
  <c r="IL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ET800" i="93"/>
  <c r="EP800" i="93"/>
  <c r="EL800" i="93"/>
  <c r="EH800" i="93"/>
  <c r="ED800" i="93"/>
  <c r="DZ800" i="93"/>
  <c r="DV800" i="93"/>
  <c r="DR800" i="93"/>
  <c r="DN800" i="93"/>
  <c r="DJ800" i="93"/>
  <c r="DF800" i="93"/>
  <c r="DB800" i="93"/>
  <c r="CX800" i="93"/>
  <c r="CT800" i="93"/>
  <c r="CP800" i="93"/>
  <c r="CL800" i="93"/>
  <c r="CH800" i="93"/>
  <c r="CD800" i="93"/>
  <c r="BZ800" i="93"/>
  <c r="BV800" i="93"/>
  <c r="BR800" i="93"/>
  <c r="BN800" i="93"/>
  <c r="BJ800" i="93"/>
  <c r="BF800" i="93"/>
  <c r="BB800" i="93"/>
  <c r="AX800" i="93"/>
  <c r="AT800" i="93"/>
  <c r="AP800" i="93"/>
  <c r="JQ800" i="93"/>
  <c r="JM800" i="93"/>
  <c r="JI800" i="93"/>
  <c r="JE800" i="93"/>
  <c r="JA800" i="93"/>
  <c r="IW800" i="93"/>
  <c r="IS800" i="93"/>
  <c r="IO800" i="93"/>
  <c r="IK800" i="93"/>
  <c r="IC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ES800" i="93"/>
  <c r="EO800" i="93"/>
  <c r="EK800" i="93"/>
  <c r="EG800" i="93"/>
  <c r="EC800" i="93"/>
  <c r="DY800" i="93"/>
  <c r="DU800" i="93"/>
  <c r="DQ800" i="93"/>
  <c r="DM800" i="93"/>
  <c r="DI800" i="93"/>
  <c r="DE800" i="93"/>
  <c r="JK800" i="93"/>
  <c r="JC800" i="93"/>
  <c r="IU800" i="93"/>
  <c r="IM800" i="93"/>
  <c r="HW800" i="93"/>
  <c r="HO800" i="93"/>
  <c r="HG800" i="93"/>
  <c r="GY800" i="93"/>
  <c r="GQ800" i="93"/>
  <c r="GI800" i="93"/>
  <c r="GA800" i="93"/>
  <c r="FS800" i="93"/>
  <c r="FK800" i="93"/>
  <c r="FC800" i="93"/>
  <c r="EU800" i="93"/>
  <c r="EM800" i="93"/>
  <c r="EE800" i="93"/>
  <c r="DW800" i="93"/>
  <c r="DO800" i="93"/>
  <c r="DG800" i="93"/>
  <c r="CZ800" i="93"/>
  <c r="CU800" i="93"/>
  <c r="CO800" i="93"/>
  <c r="CJ800" i="93"/>
  <c r="CE800" i="93"/>
  <c r="BY800" i="93"/>
  <c r="BT800" i="93"/>
  <c r="BO800" i="93"/>
  <c r="BI800" i="93"/>
  <c r="BD800" i="93"/>
  <c r="AY800" i="93"/>
  <c r="AS800" i="93"/>
  <c r="AN800" i="93"/>
  <c r="AJ800" i="93"/>
  <c r="AF800" i="93"/>
  <c r="AB800" i="93"/>
  <c r="X800" i="93"/>
  <c r="JP800" i="93"/>
  <c r="JH800" i="93"/>
  <c r="IZ800" i="93"/>
  <c r="IR800" i="93"/>
  <c r="IJ800" i="93"/>
  <c r="IB800" i="93"/>
  <c r="HT800" i="93"/>
  <c r="HL800" i="93"/>
  <c r="HD800" i="93"/>
  <c r="GV800" i="93"/>
  <c r="GN800" i="93"/>
  <c r="GF800" i="93"/>
  <c r="FX800" i="93"/>
  <c r="FP800" i="93"/>
  <c r="FH800" i="93"/>
  <c r="EZ800" i="93"/>
  <c r="ER800" i="93"/>
  <c r="EJ800" i="93"/>
  <c r="EB800" i="93"/>
  <c r="DT800" i="93"/>
  <c r="DL800" i="93"/>
  <c r="DD800" i="93"/>
  <c r="CY800" i="93"/>
  <c r="CS800" i="93"/>
  <c r="CN800" i="93"/>
  <c r="CI800" i="93"/>
  <c r="CC800" i="93"/>
  <c r="BX800" i="93"/>
  <c r="BS800" i="93"/>
  <c r="BM800" i="93"/>
  <c r="BH800" i="93"/>
  <c r="BC800" i="93"/>
  <c r="AW800" i="93"/>
  <c r="AR800" i="93"/>
  <c r="AM800" i="93"/>
  <c r="AI800" i="93"/>
  <c r="AE800" i="93"/>
  <c r="AA800" i="93"/>
  <c r="W800" i="93"/>
  <c r="Z800" i="93"/>
  <c r="AH800" i="93"/>
  <c r="AQ800" i="93"/>
  <c r="BA800" i="93"/>
  <c r="BL800" i="93"/>
  <c r="BW800" i="93"/>
  <c r="CG800" i="93"/>
  <c r="CR800" i="93"/>
  <c r="DC800" i="93"/>
  <c r="DS800" i="93"/>
  <c r="EI800" i="93"/>
  <c r="EY800" i="93"/>
  <c r="FO800" i="93"/>
  <c r="GE800" i="93"/>
  <c r="GU800" i="93"/>
  <c r="HK800" i="93"/>
  <c r="IA800" i="93"/>
  <c r="IQ800" i="93"/>
  <c r="JG800" i="93"/>
  <c r="JO801" i="93"/>
  <c r="JK801" i="93"/>
  <c r="JG801" i="93"/>
  <c r="JC801" i="93"/>
  <c r="IY801" i="93"/>
  <c r="IU801" i="93"/>
  <c r="IQ801" i="93"/>
  <c r="IM801" i="93"/>
  <c r="II801" i="93"/>
  <c r="IA801" i="93"/>
  <c r="HW801" i="93"/>
  <c r="HS801" i="93"/>
  <c r="HO801" i="93"/>
  <c r="HK801" i="93"/>
  <c r="HG801" i="93"/>
  <c r="HC801" i="93"/>
  <c r="GY801" i="93"/>
  <c r="GU801" i="93"/>
  <c r="GQ801" i="93"/>
  <c r="GM801" i="93"/>
  <c r="GI801" i="93"/>
  <c r="GE801" i="93"/>
  <c r="GA801" i="93"/>
  <c r="FW801" i="93"/>
  <c r="FS801" i="93"/>
  <c r="FO801" i="93"/>
  <c r="FK801" i="93"/>
  <c r="FG801" i="93"/>
  <c r="FC801" i="93"/>
  <c r="EY801" i="93"/>
  <c r="EU801" i="93"/>
  <c r="EQ801" i="93"/>
  <c r="EM801" i="93"/>
  <c r="EI801" i="93"/>
  <c r="EE801" i="93"/>
  <c r="EA801" i="93"/>
  <c r="DW801" i="93"/>
  <c r="DS801" i="93"/>
  <c r="DO801" i="93"/>
  <c r="DK801" i="93"/>
  <c r="DG801" i="93"/>
  <c r="DC801" i="93"/>
  <c r="CY801" i="93"/>
  <c r="CU801" i="93"/>
  <c r="CQ801" i="93"/>
  <c r="CM801" i="93"/>
  <c r="CI801" i="93"/>
  <c r="CE801" i="93"/>
  <c r="CA801" i="93"/>
  <c r="BW801" i="93"/>
  <c r="BS801" i="93"/>
  <c r="BO801" i="93"/>
  <c r="BK801" i="93"/>
  <c r="BG801" i="93"/>
  <c r="BC801" i="93"/>
  <c r="AY801" i="93"/>
  <c r="AU801" i="93"/>
  <c r="AQ801" i="93"/>
  <c r="AM801" i="93"/>
  <c r="AI801" i="93"/>
  <c r="AE801" i="93"/>
  <c r="AA801" i="93"/>
  <c r="W801" i="93"/>
  <c r="JN801" i="93"/>
  <c r="JJ801" i="93"/>
  <c r="JF801" i="93"/>
  <c r="JB801" i="93"/>
  <c r="IX801" i="93"/>
  <c r="IT801" i="93"/>
  <c r="IP801" i="93"/>
  <c r="IL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CX801" i="93"/>
  <c r="CT801" i="93"/>
  <c r="CP801" i="93"/>
  <c r="CL801" i="93"/>
  <c r="CH801" i="93"/>
  <c r="CD801" i="93"/>
  <c r="BZ801" i="93"/>
  <c r="BV801" i="93"/>
  <c r="BR801" i="93"/>
  <c r="BN801" i="93"/>
  <c r="BJ801" i="93"/>
  <c r="BF801" i="93"/>
  <c r="BB801" i="93"/>
  <c r="AX801" i="93"/>
  <c r="AT801" i="93"/>
  <c r="AP801" i="93"/>
  <c r="AL801" i="93"/>
  <c r="AH801" i="93"/>
  <c r="AD801" i="93"/>
  <c r="Z801" i="93"/>
  <c r="JL801" i="93"/>
  <c r="JD801" i="93"/>
  <c r="IV801" i="93"/>
  <c r="IN801" i="93"/>
  <c r="HX801" i="93"/>
  <c r="HP801" i="93"/>
  <c r="HH801" i="93"/>
  <c r="GZ801" i="93"/>
  <c r="GR801" i="93"/>
  <c r="GJ801" i="93"/>
  <c r="GB801" i="93"/>
  <c r="FT801" i="93"/>
  <c r="FL801" i="93"/>
  <c r="FD801" i="93"/>
  <c r="EV801" i="93"/>
  <c r="EN801" i="93"/>
  <c r="EF801" i="93"/>
  <c r="DX801" i="93"/>
  <c r="DP801" i="93"/>
  <c r="DH801" i="93"/>
  <c r="CZ801" i="93"/>
  <c r="CR801" i="93"/>
  <c r="CJ801" i="93"/>
  <c r="CB801" i="93"/>
  <c r="BT801" i="93"/>
  <c r="BL801" i="93"/>
  <c r="BD801" i="93"/>
  <c r="AV801" i="93"/>
  <c r="AN801" i="93"/>
  <c r="AF801" i="93"/>
  <c r="X801" i="93"/>
  <c r="JQ801" i="93"/>
  <c r="JI801" i="93"/>
  <c r="JA801" i="93"/>
  <c r="IS801" i="93"/>
  <c r="IK801" i="93"/>
  <c r="IC801" i="93"/>
  <c r="HU801" i="93"/>
  <c r="HM801" i="93"/>
  <c r="HE801" i="93"/>
  <c r="GW801" i="93"/>
  <c r="GO801" i="93"/>
  <c r="GG801" i="93"/>
  <c r="FY801" i="93"/>
  <c r="FQ801" i="93"/>
  <c r="FI801" i="93"/>
  <c r="FA801" i="93"/>
  <c r="ES801" i="93"/>
  <c r="EK801" i="93"/>
  <c r="EC801" i="93"/>
  <c r="DU801" i="93"/>
  <c r="DM801" i="93"/>
  <c r="DE801" i="93"/>
  <c r="CW801" i="93"/>
  <c r="CO801" i="93"/>
  <c r="CG801" i="93"/>
  <c r="BY801" i="93"/>
  <c r="BQ801" i="93"/>
  <c r="BI801" i="93"/>
  <c r="BA801" i="93"/>
  <c r="AS801" i="93"/>
  <c r="AK801" i="93"/>
  <c r="AC801" i="93"/>
  <c r="AG801" i="93"/>
  <c r="AW801" i="93"/>
  <c r="BM801" i="93"/>
  <c r="CC801" i="93"/>
  <c r="CS801" i="93"/>
  <c r="DI801" i="93"/>
  <c r="DY801" i="93"/>
  <c r="EO801" i="93"/>
  <c r="FE801" i="93"/>
  <c r="FU801" i="93"/>
  <c r="GK801" i="93"/>
  <c r="HA801" i="93"/>
  <c r="HQ801" i="93"/>
  <c r="IG801" i="93"/>
  <c r="IW801" i="93"/>
  <c r="JM801" i="93"/>
  <c r="K802" i="93"/>
  <c r="L802" i="93" s="1"/>
  <c r="X793" i="93"/>
  <c r="AB793" i="93"/>
  <c r="AF793" i="93"/>
  <c r="AJ793" i="93"/>
  <c r="AN793" i="93"/>
  <c r="AR793" i="93"/>
  <c r="AV793" i="93"/>
  <c r="AZ793" i="93"/>
  <c r="BD793" i="93"/>
  <c r="BH793" i="93"/>
  <c r="BL793" i="93"/>
  <c r="BP793" i="93"/>
  <c r="BT793" i="93"/>
  <c r="CB793" i="93"/>
  <c r="CF793" i="93"/>
  <c r="CJ793" i="93"/>
  <c r="CN793" i="93"/>
  <c r="CR793" i="93"/>
  <c r="DD793" i="93"/>
  <c r="DH793" i="93"/>
  <c r="DL793" i="93"/>
  <c r="DP793" i="93"/>
  <c r="DT793" i="93"/>
  <c r="DX793" i="93"/>
  <c r="EB793" i="93"/>
  <c r="EF793" i="93"/>
  <c r="EJ793" i="93"/>
  <c r="EN793" i="93"/>
  <c r="ER793" i="93"/>
  <c r="EV793" i="93"/>
  <c r="EZ793" i="93"/>
  <c r="FD793" i="93"/>
  <c r="FH793" i="93"/>
  <c r="FL793" i="93"/>
  <c r="FP793" i="93"/>
  <c r="FT793" i="93"/>
  <c r="FX793" i="93"/>
  <c r="GB793" i="93"/>
  <c r="GF793" i="93"/>
  <c r="GJ793" i="93"/>
  <c r="GN793" i="93"/>
  <c r="GR793" i="93"/>
  <c r="GV793" i="93"/>
  <c r="GZ793" i="93"/>
  <c r="HD793" i="93"/>
  <c r="HH793" i="93"/>
  <c r="HL793" i="93"/>
  <c r="HP793" i="93"/>
  <c r="HT793" i="93"/>
  <c r="HX793" i="93"/>
  <c r="IF793" i="93"/>
  <c r="IJ793" i="93"/>
  <c r="IN793" i="93"/>
  <c r="IR793" i="93"/>
  <c r="IV793" i="93"/>
  <c r="IZ793" i="93"/>
  <c r="Y794" i="93"/>
  <c r="AC794" i="93"/>
  <c r="AG794" i="93"/>
  <c r="AK794" i="93"/>
  <c r="AO794" i="93"/>
  <c r="AS794" i="93"/>
  <c r="AW794" i="93"/>
  <c r="BA794" i="93"/>
  <c r="BE794" i="93"/>
  <c r="BI794" i="93"/>
  <c r="BM794" i="93"/>
  <c r="BQ794" i="93"/>
  <c r="BU794" i="93"/>
  <c r="BY794" i="93"/>
  <c r="CC794" i="93"/>
  <c r="CG794" i="93"/>
  <c r="CK794" i="93"/>
  <c r="CO794" i="93"/>
  <c r="CS794" i="93"/>
  <c r="CW794" i="93"/>
  <c r="DA794" i="93"/>
  <c r="DE794" i="93"/>
  <c r="DI794" i="93"/>
  <c r="DM794" i="93"/>
  <c r="DQ794" i="93"/>
  <c r="DU794" i="93"/>
  <c r="DY794" i="93"/>
  <c r="EC794" i="93"/>
  <c r="EG794" i="93"/>
  <c r="EK794" i="93"/>
  <c r="EO794" i="93"/>
  <c r="ES794" i="93"/>
  <c r="EW794" i="93"/>
  <c r="FA794" i="93"/>
  <c r="FE794" i="93"/>
  <c r="FI794" i="93"/>
  <c r="FM794" i="93"/>
  <c r="FQ794" i="93"/>
  <c r="FU794" i="93"/>
  <c r="FY794" i="93"/>
  <c r="GC794" i="93"/>
  <c r="GG794" i="93"/>
  <c r="GK794" i="93"/>
  <c r="GO794" i="93"/>
  <c r="GS794" i="93"/>
  <c r="GW794" i="93"/>
  <c r="HA794" i="93"/>
  <c r="HE794" i="93"/>
  <c r="HI794" i="93"/>
  <c r="HM794" i="93"/>
  <c r="HQ794" i="93"/>
  <c r="HU794" i="93"/>
  <c r="HY794" i="93"/>
  <c r="IC794" i="93"/>
  <c r="IK794" i="93"/>
  <c r="IO794" i="93"/>
  <c r="IS794" i="93"/>
  <c r="IW794" i="93"/>
  <c r="JA794" i="93"/>
  <c r="JE794" i="93"/>
  <c r="JI794" i="93"/>
  <c r="JM794" i="93"/>
  <c r="JQ794" i="93"/>
  <c r="IG797" i="93"/>
  <c r="JJ797" i="93"/>
  <c r="EY798" i="93"/>
  <c r="FG798" i="93"/>
  <c r="FO798" i="93"/>
  <c r="FW798" i="93"/>
  <c r="GE798" i="93"/>
  <c r="GM798" i="93"/>
  <c r="GU798" i="93"/>
  <c r="HC798" i="93"/>
  <c r="HK798" i="93"/>
  <c r="HS798" i="93"/>
  <c r="IA798" i="93"/>
  <c r="JG798" i="93"/>
  <c r="JO798" i="93"/>
  <c r="AB799" i="93"/>
  <c r="AJ799" i="93"/>
  <c r="AR799" i="93"/>
  <c r="AZ799" i="93"/>
  <c r="BH799" i="93"/>
  <c r="BP799" i="93"/>
  <c r="BX799" i="93"/>
  <c r="CF799" i="93"/>
  <c r="CN799" i="93"/>
  <c r="CV799" i="93"/>
  <c r="DD799" i="93"/>
  <c r="DL799" i="93"/>
  <c r="DT799" i="93"/>
  <c r="EB799" i="93"/>
  <c r="EJ799" i="93"/>
  <c r="ER799" i="93"/>
  <c r="EZ799" i="93"/>
  <c r="FH799" i="93"/>
  <c r="FP799" i="93"/>
  <c r="FX799" i="93"/>
  <c r="GF799" i="93"/>
  <c r="GN799" i="93"/>
  <c r="GV799" i="93"/>
  <c r="HD799" i="93"/>
  <c r="HL799" i="93"/>
  <c r="HT799" i="93"/>
  <c r="IB799" i="93"/>
  <c r="IJ799" i="93"/>
  <c r="IR799" i="93"/>
  <c r="IZ799" i="93"/>
  <c r="JH799" i="93"/>
  <c r="JP799" i="93"/>
  <c r="AC800" i="93"/>
  <c r="AK800" i="93"/>
  <c r="AU800" i="93"/>
  <c r="BE800" i="93"/>
  <c r="BP800" i="93"/>
  <c r="CA800" i="93"/>
  <c r="CK800" i="93"/>
  <c r="CV800" i="93"/>
  <c r="DH800" i="93"/>
  <c r="DX800" i="93"/>
  <c r="EN800" i="93"/>
  <c r="FD800" i="93"/>
  <c r="FT800" i="93"/>
  <c r="GJ800" i="93"/>
  <c r="GZ800" i="93"/>
  <c r="HP800" i="93"/>
  <c r="IF800" i="93"/>
  <c r="IV800" i="93"/>
  <c r="JL800" i="93"/>
  <c r="AJ801" i="93"/>
  <c r="AZ801" i="93"/>
  <c r="BP801" i="93"/>
  <c r="CF801" i="93"/>
  <c r="CV801" i="93"/>
  <c r="DL801" i="93"/>
  <c r="EB801" i="93"/>
  <c r="ER801" i="93"/>
  <c r="FH801" i="93"/>
  <c r="FX801" i="93"/>
  <c r="GN801" i="93"/>
  <c r="HD801" i="93"/>
  <c r="HT801" i="93"/>
  <c r="IJ801" i="93"/>
  <c r="IZ801" i="93"/>
  <c r="JP801" i="93"/>
  <c r="ET803" i="93"/>
  <c r="EP803" i="93"/>
  <c r="EL803" i="93"/>
  <c r="EH803" i="93"/>
  <c r="ED803" i="93"/>
  <c r="DZ803" i="93"/>
  <c r="DV803" i="93"/>
  <c r="DR803" i="93"/>
  <c r="DN803" i="93"/>
  <c r="DJ803" i="93"/>
  <c r="DF803" i="93"/>
  <c r="DB803" i="93"/>
  <c r="CX803" i="93"/>
  <c r="CT803" i="93"/>
  <c r="CP803" i="93"/>
  <c r="CL803" i="93"/>
  <c r="CH803" i="93"/>
  <c r="CD803" i="93"/>
  <c r="BZ803" i="93"/>
  <c r="BV803" i="93"/>
  <c r="BR803" i="93"/>
  <c r="BN803" i="93"/>
  <c r="BJ803" i="93"/>
  <c r="BF803" i="93"/>
  <c r="BB803" i="93"/>
  <c r="AX803" i="93"/>
  <c r="AT803" i="93"/>
  <c r="AP803" i="93"/>
  <c r="AL803" i="93"/>
  <c r="AH803" i="93"/>
  <c r="AD803" i="93"/>
  <c r="Z803" i="93"/>
  <c r="IY803" i="93"/>
  <c r="II803" i="93"/>
  <c r="EU803" i="93"/>
  <c r="EE803" i="93"/>
  <c r="DO803" i="93"/>
  <c r="CY803" i="93"/>
  <c r="CI803" i="93"/>
  <c r="BS803" i="93"/>
  <c r="BC803" i="93"/>
  <c r="AM803" i="93"/>
  <c r="W803" i="93"/>
  <c r="IU803" i="93"/>
  <c r="IE803" i="93"/>
  <c r="EQ803" i="93"/>
  <c r="EA803" i="93"/>
  <c r="DK803" i="93"/>
  <c r="CU803" i="93"/>
  <c r="CE803" i="93"/>
  <c r="BO803" i="93"/>
  <c r="AY803" i="93"/>
  <c r="AI803" i="93"/>
  <c r="A803" i="93"/>
  <c r="AE803" i="93"/>
  <c r="BK803" i="93"/>
  <c r="CQ803" i="93"/>
  <c r="DW803" i="93"/>
  <c r="CN804" i="93"/>
  <c r="DH804" i="93"/>
  <c r="Y789" i="93"/>
  <c r="AC789" i="93"/>
  <c r="AG789" i="93"/>
  <c r="AK789" i="93"/>
  <c r="AO789" i="93"/>
  <c r="AS789" i="93"/>
  <c r="AW789" i="93"/>
  <c r="BA789" i="93"/>
  <c r="BE789" i="93"/>
  <c r="BI789" i="93"/>
  <c r="BM789" i="93"/>
  <c r="BQ789" i="93"/>
  <c r="BU789" i="93"/>
  <c r="BY789" i="93"/>
  <c r="CC789" i="93"/>
  <c r="CG789" i="93"/>
  <c r="CK789" i="93"/>
  <c r="CO789" i="93"/>
  <c r="CS789" i="93"/>
  <c r="CW789" i="93"/>
  <c r="DA789" i="93"/>
  <c r="DE789" i="93"/>
  <c r="DI789" i="93"/>
  <c r="DM789" i="93"/>
  <c r="DQ789" i="93"/>
  <c r="DU789" i="93"/>
  <c r="DY789" i="93"/>
  <c r="EC789" i="93"/>
  <c r="EG789" i="93"/>
  <c r="EK789" i="93"/>
  <c r="EO789" i="93"/>
  <c r="ES789" i="93"/>
  <c r="EW789" i="93"/>
  <c r="FA789" i="93"/>
  <c r="FE789" i="93"/>
  <c r="FI789" i="93"/>
  <c r="FM789" i="93"/>
  <c r="FQ789" i="93"/>
  <c r="FU789" i="93"/>
  <c r="FY789" i="93"/>
  <c r="GC789" i="93"/>
  <c r="GG789" i="93"/>
  <c r="GK789" i="93"/>
  <c r="GO789" i="93"/>
  <c r="GS789" i="93"/>
  <c r="GW789" i="93"/>
  <c r="HA789" i="93"/>
  <c r="HE789" i="93"/>
  <c r="HI789" i="93"/>
  <c r="HM789" i="93"/>
  <c r="HQ789" i="93"/>
  <c r="HU789" i="93"/>
  <c r="HY789" i="93"/>
  <c r="IC789" i="93"/>
  <c r="IK789" i="93"/>
  <c r="IO789" i="93"/>
  <c r="IS789" i="93"/>
  <c r="IW789" i="93"/>
  <c r="JA789" i="93"/>
  <c r="JE789" i="93"/>
  <c r="JI789" i="93"/>
  <c r="JM789" i="93"/>
  <c r="Y793" i="93"/>
  <c r="AC793" i="93"/>
  <c r="AG793" i="93"/>
  <c r="AK793" i="93"/>
  <c r="AO793" i="93"/>
  <c r="AS793" i="93"/>
  <c r="AW793" i="93"/>
  <c r="BA793" i="93"/>
  <c r="BE793" i="93"/>
  <c r="BI793" i="93"/>
  <c r="BM793" i="93"/>
  <c r="BQ793" i="93"/>
  <c r="BU793" i="93"/>
  <c r="BY793" i="93"/>
  <c r="CC793" i="93"/>
  <c r="CG793" i="93"/>
  <c r="CK793" i="93"/>
  <c r="CO793" i="93"/>
  <c r="CS793" i="93"/>
  <c r="CW793" i="93"/>
  <c r="DA793" i="93"/>
  <c r="DE793" i="93"/>
  <c r="DI793" i="93"/>
  <c r="DM793" i="93"/>
  <c r="DQ793" i="93"/>
  <c r="DU793" i="93"/>
  <c r="DY793" i="93"/>
  <c r="EC793" i="93"/>
  <c r="EG793" i="93"/>
  <c r="EK793" i="93"/>
  <c r="EO793" i="93"/>
  <c r="ES793" i="93"/>
  <c r="EW793" i="93"/>
  <c r="FA793" i="93"/>
  <c r="FE793" i="93"/>
  <c r="FI793" i="93"/>
  <c r="FM793" i="93"/>
  <c r="FQ793" i="93"/>
  <c r="FU793" i="93"/>
  <c r="FY793" i="93"/>
  <c r="GC793" i="93"/>
  <c r="GG793" i="93"/>
  <c r="GK793" i="93"/>
  <c r="GO793" i="93"/>
  <c r="GS793" i="93"/>
  <c r="GW793" i="93"/>
  <c r="HA793" i="93"/>
  <c r="HE793" i="93"/>
  <c r="HI793" i="93"/>
  <c r="HM793" i="93"/>
  <c r="HQ793" i="93"/>
  <c r="HU793" i="93"/>
  <c r="HY793" i="93"/>
  <c r="IC793" i="93"/>
  <c r="IK793" i="93"/>
  <c r="IO793" i="93"/>
  <c r="IS793" i="93"/>
  <c r="IW793" i="93"/>
  <c r="JA793" i="93"/>
  <c r="JE793" i="93"/>
  <c r="JI793" i="93"/>
  <c r="JM793" i="93"/>
  <c r="Z794" i="93"/>
  <c r="AD794" i="93"/>
  <c r="AH794" i="93"/>
  <c r="AL794" i="93"/>
  <c r="AP794" i="93"/>
  <c r="AT794" i="93"/>
  <c r="AX794" i="93"/>
  <c r="BB794" i="93"/>
  <c r="BF794" i="93"/>
  <c r="BJ794" i="93"/>
  <c r="BN794" i="93"/>
  <c r="BR794" i="93"/>
  <c r="BV794" i="93"/>
  <c r="BZ794" i="93"/>
  <c r="CD794" i="93"/>
  <c r="CH794" i="93"/>
  <c r="CL794" i="93"/>
  <c r="CP794" i="93"/>
  <c r="CT794" i="93"/>
  <c r="CX794" i="93"/>
  <c r="DB794" i="93"/>
  <c r="DF794" i="93"/>
  <c r="DJ794" i="93"/>
  <c r="DN794" i="93"/>
  <c r="DR794" i="93"/>
  <c r="DV794" i="93"/>
  <c r="DZ794" i="93"/>
  <c r="ED794" i="93"/>
  <c r="EH794" i="93"/>
  <c r="EL794" i="93"/>
  <c r="EP794" i="93"/>
  <c r="ET794" i="93"/>
  <c r="EX794" i="93"/>
  <c r="FB794" i="93"/>
  <c r="FF794" i="93"/>
  <c r="FJ794" i="93"/>
  <c r="FN794" i="93"/>
  <c r="FR794" i="93"/>
  <c r="FV794" i="93"/>
  <c r="FZ794" i="93"/>
  <c r="GD794" i="93"/>
  <c r="GH794" i="93"/>
  <c r="GL794" i="93"/>
  <c r="GP794" i="93"/>
  <c r="GT794" i="93"/>
  <c r="GX794" i="93"/>
  <c r="HB794" i="93"/>
  <c r="HF794" i="93"/>
  <c r="HJ794" i="93"/>
  <c r="HN794" i="93"/>
  <c r="HR794" i="93"/>
  <c r="HV794" i="93"/>
  <c r="HZ794" i="93"/>
  <c r="IL794" i="93"/>
  <c r="IP794" i="93"/>
  <c r="IT794" i="93"/>
  <c r="IX794" i="93"/>
  <c r="JB794" i="93"/>
  <c r="JF794" i="93"/>
  <c r="JJ794" i="93"/>
  <c r="IF796" i="93"/>
  <c r="IE796" i="93"/>
  <c r="IH796" i="93"/>
  <c r="JQ797" i="93"/>
  <c r="L797" i="93"/>
  <c r="FC797" i="93"/>
  <c r="FK797" i="93"/>
  <c r="FS797" i="93"/>
  <c r="GA797" i="93"/>
  <c r="GI797" i="93"/>
  <c r="GQ797" i="93"/>
  <c r="GY797" i="93"/>
  <c r="HG797" i="93"/>
  <c r="HO797" i="93"/>
  <c r="JC797" i="93"/>
  <c r="IH798" i="93"/>
  <c r="ID798" i="93"/>
  <c r="IG798" i="93"/>
  <c r="AB798" i="93"/>
  <c r="AJ798" i="93"/>
  <c r="AR798" i="93"/>
  <c r="AZ798" i="93"/>
  <c r="BH798" i="93"/>
  <c r="BP798" i="93"/>
  <c r="CF798" i="93"/>
  <c r="CN798" i="93"/>
  <c r="DD798" i="93"/>
  <c r="DL798" i="93"/>
  <c r="DT798" i="93"/>
  <c r="EB798" i="93"/>
  <c r="EJ798" i="93"/>
  <c r="ER798" i="93"/>
  <c r="EZ798" i="93"/>
  <c r="FH798" i="93"/>
  <c r="FP798" i="93"/>
  <c r="FX798" i="93"/>
  <c r="GF798" i="93"/>
  <c r="GN798" i="93"/>
  <c r="GV798" i="93"/>
  <c r="HD798" i="93"/>
  <c r="HL798" i="93"/>
  <c r="HT798" i="93"/>
  <c r="IJ798" i="93"/>
  <c r="IR798" i="93"/>
  <c r="IZ798" i="93"/>
  <c r="JH798" i="93"/>
  <c r="JP798" i="93"/>
  <c r="L799" i="93"/>
  <c r="AC799" i="93"/>
  <c r="AK799" i="93"/>
  <c r="AS799" i="93"/>
  <c r="BA799" i="93"/>
  <c r="BI799" i="93"/>
  <c r="BQ799" i="93"/>
  <c r="BY799" i="93"/>
  <c r="CG799" i="93"/>
  <c r="CO799" i="93"/>
  <c r="CW799" i="93"/>
  <c r="DE799" i="93"/>
  <c r="DM799" i="93"/>
  <c r="DU799" i="93"/>
  <c r="EC799" i="93"/>
  <c r="EK799" i="93"/>
  <c r="ES799" i="93"/>
  <c r="FA799" i="93"/>
  <c r="FI799" i="93"/>
  <c r="FQ799" i="93"/>
  <c r="FY799" i="93"/>
  <c r="GG799" i="93"/>
  <c r="GO799" i="93"/>
  <c r="GW799" i="93"/>
  <c r="HE799" i="93"/>
  <c r="HM799" i="93"/>
  <c r="HU799" i="93"/>
  <c r="IC799" i="93"/>
  <c r="IK799" i="93"/>
  <c r="IS799" i="93"/>
  <c r="JA799" i="93"/>
  <c r="JI799" i="93"/>
  <c r="JQ799" i="93"/>
  <c r="AD800" i="93"/>
  <c r="AL800" i="93"/>
  <c r="AV800" i="93"/>
  <c r="BG800" i="93"/>
  <c r="BQ800" i="93"/>
  <c r="CB800" i="93"/>
  <c r="CM800" i="93"/>
  <c r="CW800" i="93"/>
  <c r="DK800" i="93"/>
  <c r="EA800" i="93"/>
  <c r="EQ800" i="93"/>
  <c r="FG800" i="93"/>
  <c r="FW800" i="93"/>
  <c r="GM800" i="93"/>
  <c r="HC800" i="93"/>
  <c r="HS800" i="93"/>
  <c r="II800" i="93"/>
  <c r="IY800" i="93"/>
  <c r="JO800" i="93"/>
  <c r="Y801" i="93"/>
  <c r="AO801" i="93"/>
  <c r="BE801" i="93"/>
  <c r="BU801" i="93"/>
  <c r="CK801" i="93"/>
  <c r="DA801" i="93"/>
  <c r="DQ801" i="93"/>
  <c r="EG801" i="93"/>
  <c r="EW801" i="93"/>
  <c r="FM801" i="93"/>
  <c r="GC801" i="93"/>
  <c r="GS801" i="93"/>
  <c r="HI801" i="93"/>
  <c r="HY801" i="93"/>
  <c r="IO801" i="93"/>
  <c r="JE801" i="93"/>
  <c r="AQ803" i="93"/>
  <c r="BW803" i="93"/>
  <c r="DC803" i="93"/>
  <c r="EI803" i="93"/>
  <c r="IM803" i="93"/>
  <c r="IG804" i="93"/>
  <c r="IF804" i="93"/>
  <c r="IE804" i="93"/>
  <c r="AM804" i="93"/>
  <c r="AI804" i="93"/>
  <c r="AE804" i="93"/>
  <c r="AA804" i="93"/>
  <c r="W804" i="93"/>
  <c r="A804" i="93"/>
  <c r="IH804" i="93"/>
  <c r="ID804" i="93"/>
  <c r="EV804" i="93"/>
  <c r="EF804" i="93"/>
  <c r="DP804" i="93"/>
  <c r="CJ804" i="93"/>
  <c r="AN804" i="93"/>
  <c r="X804" i="93"/>
  <c r="ER804" i="93"/>
  <c r="EB804" i="93"/>
  <c r="DL804" i="93"/>
  <c r="CF804" i="93"/>
  <c r="AJ804" i="93"/>
  <c r="AF804" i="93"/>
  <c r="BL804" i="93"/>
  <c r="CR804" i="93"/>
  <c r="DT804" i="93"/>
  <c r="X797" i="93"/>
  <c r="AB797" i="93"/>
  <c r="AF797" i="93"/>
  <c r="AJ797" i="93"/>
  <c r="AN797" i="93"/>
  <c r="AR797" i="93"/>
  <c r="AV797" i="93"/>
  <c r="AZ797" i="93"/>
  <c r="BD797" i="93"/>
  <c r="BH797" i="93"/>
  <c r="BL797" i="93"/>
  <c r="BP797" i="93"/>
  <c r="BT797" i="93"/>
  <c r="BX797" i="93"/>
  <c r="CB797" i="93"/>
  <c r="CF797" i="93"/>
  <c r="CJ797" i="93"/>
  <c r="CN797" i="93"/>
  <c r="CR797" i="93"/>
  <c r="CV797" i="93"/>
  <c r="CZ797" i="93"/>
  <c r="DD797" i="93"/>
  <c r="DH797" i="93"/>
  <c r="DL797" i="93"/>
  <c r="DP797" i="93"/>
  <c r="DT797" i="93"/>
  <c r="DX797" i="93"/>
  <c r="EB797" i="93"/>
  <c r="EF797" i="93"/>
  <c r="EJ797" i="93"/>
  <c r="EN797" i="93"/>
  <c r="ER797" i="93"/>
  <c r="EV797" i="93"/>
  <c r="EZ797" i="93"/>
  <c r="FD797" i="93"/>
  <c r="FH797" i="93"/>
  <c r="FL797" i="93"/>
  <c r="FP797" i="93"/>
  <c r="FT797" i="93"/>
  <c r="FX797" i="93"/>
  <c r="GB797" i="93"/>
  <c r="GF797" i="93"/>
  <c r="GJ797" i="93"/>
  <c r="GN797" i="93"/>
  <c r="GR797" i="93"/>
  <c r="GV797" i="93"/>
  <c r="GZ797" i="93"/>
  <c r="HD797" i="93"/>
  <c r="HH797" i="93"/>
  <c r="HL797" i="93"/>
  <c r="HP797" i="93"/>
  <c r="HT797" i="93"/>
  <c r="HX797" i="93"/>
  <c r="IB797" i="93"/>
  <c r="IF797" i="93"/>
  <c r="IJ797" i="93"/>
  <c r="IN797" i="93"/>
  <c r="IR797" i="93"/>
  <c r="IV797" i="93"/>
  <c r="IZ797" i="93"/>
  <c r="JD797" i="93"/>
  <c r="JH797" i="93"/>
  <c r="JL797" i="93"/>
  <c r="JP797" i="93"/>
  <c r="Y798" i="93"/>
  <c r="AC798" i="93"/>
  <c r="AG798" i="93"/>
  <c r="AK798" i="93"/>
  <c r="AO798" i="93"/>
  <c r="AS798" i="93"/>
  <c r="AW798" i="93"/>
  <c r="BA798" i="93"/>
  <c r="BE798" i="93"/>
  <c r="BI798" i="93"/>
  <c r="BM798" i="93"/>
  <c r="BQ798" i="93"/>
  <c r="BU798" i="93"/>
  <c r="BY798" i="93"/>
  <c r="CC798" i="93"/>
  <c r="CG798" i="93"/>
  <c r="CK798" i="93"/>
  <c r="CO798" i="93"/>
  <c r="CS798" i="93"/>
  <c r="CW798" i="93"/>
  <c r="DA798" i="93"/>
  <c r="DE798" i="93"/>
  <c r="DI798" i="93"/>
  <c r="DM798" i="93"/>
  <c r="DQ798" i="93"/>
  <c r="DU798" i="93"/>
  <c r="DY798" i="93"/>
  <c r="EC798" i="93"/>
  <c r="EG798" i="93"/>
  <c r="EK798" i="93"/>
  <c r="EO798" i="93"/>
  <c r="ES798" i="93"/>
  <c r="EW798" i="93"/>
  <c r="FA798" i="93"/>
  <c r="FE798" i="93"/>
  <c r="FI798" i="93"/>
  <c r="FM798" i="93"/>
  <c r="FQ798" i="93"/>
  <c r="FU798" i="93"/>
  <c r="FY798" i="93"/>
  <c r="GC798" i="93"/>
  <c r="GG798" i="93"/>
  <c r="GK798" i="93"/>
  <c r="GO798" i="93"/>
  <c r="GS798" i="93"/>
  <c r="GW798" i="93"/>
  <c r="HA798" i="93"/>
  <c r="HE798" i="93"/>
  <c r="HI798" i="93"/>
  <c r="HM798" i="93"/>
  <c r="HQ798" i="93"/>
  <c r="HU798" i="93"/>
  <c r="HY798" i="93"/>
  <c r="IC798" i="93"/>
  <c r="IK798" i="93"/>
  <c r="IO798" i="93"/>
  <c r="IS798" i="93"/>
  <c r="IW798" i="93"/>
  <c r="JA798" i="93"/>
  <c r="JE798" i="93"/>
  <c r="JI798" i="93"/>
  <c r="JM798" i="93"/>
  <c r="JQ798" i="93"/>
  <c r="L803" i="93"/>
  <c r="JK803" i="93"/>
  <c r="AZ804" i="93"/>
  <c r="BP804" i="93"/>
  <c r="Y797" i="93"/>
  <c r="AC797" i="93"/>
  <c r="AG797" i="93"/>
  <c r="AK797" i="93"/>
  <c r="AO797" i="93"/>
  <c r="AS797" i="93"/>
  <c r="AW797" i="93"/>
  <c r="BA797" i="93"/>
  <c r="BE797" i="93"/>
  <c r="BI797" i="93"/>
  <c r="BM797" i="93"/>
  <c r="BQ797" i="93"/>
  <c r="BU797" i="93"/>
  <c r="BY797" i="93"/>
  <c r="CC797" i="93"/>
  <c r="CG797" i="93"/>
  <c r="CK797" i="93"/>
  <c r="CO797" i="93"/>
  <c r="CS797" i="93"/>
  <c r="CW797" i="93"/>
  <c r="DA797" i="93"/>
  <c r="DE797" i="93"/>
  <c r="DI797" i="93"/>
  <c r="DM797" i="93"/>
  <c r="DQ797" i="93"/>
  <c r="DU797" i="93"/>
  <c r="DY797" i="93"/>
  <c r="EC797" i="93"/>
  <c r="EG797" i="93"/>
  <c r="EK797" i="93"/>
  <c r="EO797" i="93"/>
  <c r="ES797" i="93"/>
  <c r="EW797" i="93"/>
  <c r="FA797" i="93"/>
  <c r="FE797" i="93"/>
  <c r="FI797" i="93"/>
  <c r="FM797" i="93"/>
  <c r="FQ797" i="93"/>
  <c r="FU797" i="93"/>
  <c r="FY797" i="93"/>
  <c r="GC797" i="93"/>
  <c r="GG797" i="93"/>
  <c r="GK797" i="93"/>
  <c r="GO797" i="93"/>
  <c r="GS797" i="93"/>
  <c r="GW797" i="93"/>
  <c r="HA797" i="93"/>
  <c r="HE797" i="93"/>
  <c r="HI797" i="93"/>
  <c r="HM797" i="93"/>
  <c r="HQ797" i="93"/>
  <c r="HU797" i="93"/>
  <c r="HY797" i="93"/>
  <c r="IC797" i="93"/>
  <c r="IK797" i="93"/>
  <c r="IO797" i="93"/>
  <c r="IS797" i="93"/>
  <c r="IW797" i="93"/>
  <c r="JA797" i="93"/>
  <c r="JE797" i="93"/>
  <c r="JI797" i="93"/>
  <c r="JM797" i="93"/>
  <c r="Z798" i="93"/>
  <c r="AD798" i="93"/>
  <c r="AH798" i="93"/>
  <c r="AL798" i="93"/>
  <c r="AP798" i="93"/>
  <c r="AT798" i="93"/>
  <c r="AX798" i="93"/>
  <c r="BB798" i="93"/>
  <c r="BF798" i="93"/>
  <c r="BJ798" i="93"/>
  <c r="BN798" i="93"/>
  <c r="BR798" i="93"/>
  <c r="BV798" i="93"/>
  <c r="BZ798" i="93"/>
  <c r="CD798" i="93"/>
  <c r="CH798" i="93"/>
  <c r="CL798" i="93"/>
  <c r="CP798" i="93"/>
  <c r="CT798" i="93"/>
  <c r="CX798" i="93"/>
  <c r="DB798" i="93"/>
  <c r="DF798" i="93"/>
  <c r="DJ798" i="93"/>
  <c r="DN798" i="93"/>
  <c r="DR798" i="93"/>
  <c r="DV798" i="93"/>
  <c r="DZ798" i="93"/>
  <c r="ED798" i="93"/>
  <c r="EH798" i="93"/>
  <c r="EL798" i="93"/>
  <c r="EP798" i="93"/>
  <c r="ET798" i="93"/>
  <c r="EX798" i="93"/>
  <c r="FB798" i="93"/>
  <c r="FF798" i="93"/>
  <c r="FJ798" i="93"/>
  <c r="FN798" i="93"/>
  <c r="FR798" i="93"/>
  <c r="FV798" i="93"/>
  <c r="FZ798" i="93"/>
  <c r="GD798" i="93"/>
  <c r="GH798" i="93"/>
  <c r="GL798" i="93"/>
  <c r="GP798" i="93"/>
  <c r="GT798" i="93"/>
  <c r="GX798" i="93"/>
  <c r="HB798" i="93"/>
  <c r="HF798" i="93"/>
  <c r="HJ798" i="93"/>
  <c r="HN798" i="93"/>
  <c r="HR798" i="93"/>
  <c r="HV798" i="93"/>
  <c r="HZ798" i="93"/>
  <c r="IL798" i="93"/>
  <c r="IP798" i="93"/>
  <c r="IT798" i="93"/>
  <c r="IX798" i="93"/>
  <c r="JB798" i="93"/>
  <c r="JF798" i="93"/>
  <c r="JJ798" i="93"/>
  <c r="IH800" i="93"/>
  <c r="ID800" i="93"/>
  <c r="IG800" i="93"/>
  <c r="IE800" i="93"/>
  <c r="IE801" i="93"/>
  <c r="A801" i="93"/>
  <c r="IH801" i="93"/>
  <c r="ID801" i="93"/>
  <c r="IF801" i="93"/>
  <c r="IF802" i="93"/>
  <c r="IH803" i="93"/>
  <c r="BH803" i="93"/>
  <c r="JO803" i="93"/>
  <c r="L804" i="93"/>
  <c r="BG804" i="93"/>
  <c r="BC804" i="93"/>
  <c r="AY804" i="93"/>
  <c r="AU804" i="93"/>
  <c r="AQ804" i="93"/>
  <c r="BD804" i="93"/>
  <c r="BT804" i="93"/>
  <c r="IE802" i="93"/>
  <c r="X803" i="93"/>
  <c r="AB803" i="93"/>
  <c r="AF803" i="93"/>
  <c r="AJ803" i="93"/>
  <c r="AN803" i="93"/>
  <c r="AR803" i="93"/>
  <c r="AV803" i="93"/>
  <c r="AZ803" i="93"/>
  <c r="BD803" i="93"/>
  <c r="BL803" i="93"/>
  <c r="BP803" i="93"/>
  <c r="BT803" i="93"/>
  <c r="BX803" i="93"/>
  <c r="CB803" i="93"/>
  <c r="CF803" i="93"/>
  <c r="CJ803" i="93"/>
  <c r="CN803" i="93"/>
  <c r="CR803" i="93"/>
  <c r="CV803" i="93"/>
  <c r="CZ803" i="93"/>
  <c r="DD803" i="93"/>
  <c r="DH803" i="93"/>
  <c r="DL803" i="93"/>
  <c r="DP803" i="93"/>
  <c r="DT803" i="93"/>
  <c r="DX803" i="93"/>
  <c r="EB803" i="93"/>
  <c r="EF803" i="93"/>
  <c r="EJ803" i="93"/>
  <c r="EN803" i="93"/>
  <c r="ER803" i="93"/>
  <c r="EV803" i="93"/>
  <c r="EZ803" i="93"/>
  <c r="FD803" i="93"/>
  <c r="FH803" i="93"/>
  <c r="FL803" i="93"/>
  <c r="FP803" i="93"/>
  <c r="FT803" i="93"/>
  <c r="FX803" i="93"/>
  <c r="GB803" i="93"/>
  <c r="GF803" i="93"/>
  <c r="GJ803" i="93"/>
  <c r="GN803" i="93"/>
  <c r="GR803" i="93"/>
  <c r="GV803" i="93"/>
  <c r="GZ803" i="93"/>
  <c r="HD803" i="93"/>
  <c r="HH803" i="93"/>
  <c r="HL803" i="93"/>
  <c r="HP803" i="93"/>
  <c r="HT803" i="93"/>
  <c r="HX803" i="93"/>
  <c r="IB803" i="93"/>
  <c r="IF803" i="93"/>
  <c r="IJ803" i="93"/>
  <c r="IN803" i="93"/>
  <c r="IR803" i="93"/>
  <c r="IV803" i="93"/>
  <c r="IZ803" i="93"/>
  <c r="JD803" i="93"/>
  <c r="JH803" i="93"/>
  <c r="JL803" i="93"/>
  <c r="JP803" i="93"/>
  <c r="JQ804" i="93"/>
  <c r="JM804" i="93"/>
  <c r="JI804" i="93"/>
  <c r="JE804" i="93"/>
  <c r="JA804" i="93"/>
  <c r="IW804" i="93"/>
  <c r="IS804" i="93"/>
  <c r="IO804" i="93"/>
  <c r="IK804" i="93"/>
  <c r="IC804" i="93"/>
  <c r="HY804" i="93"/>
  <c r="HU804" i="93"/>
  <c r="HQ804" i="93"/>
  <c r="HM804" i="93"/>
  <c r="HI804" i="93"/>
  <c r="HE804" i="93"/>
  <c r="HA804" i="93"/>
  <c r="JP804" i="93"/>
  <c r="JL804" i="93"/>
  <c r="JH804" i="93"/>
  <c r="JD804" i="93"/>
  <c r="IZ804" i="93"/>
  <c r="IV804" i="93"/>
  <c r="IR804" i="93"/>
  <c r="IN804" i="93"/>
  <c r="IJ804" i="93"/>
  <c r="IB804" i="93"/>
  <c r="HX804" i="93"/>
  <c r="HT804" i="93"/>
  <c r="HP804" i="93"/>
  <c r="HL804" i="93"/>
  <c r="HH804" i="93"/>
  <c r="HD804" i="93"/>
  <c r="JO804" i="93"/>
  <c r="JK804" i="93"/>
  <c r="JG804" i="93"/>
  <c r="JC804" i="93"/>
  <c r="IY804" i="93"/>
  <c r="IU804" i="93"/>
  <c r="IQ804" i="93"/>
  <c r="IM804" i="93"/>
  <c r="II804" i="93"/>
  <c r="IA804" i="93"/>
  <c r="HW804" i="93"/>
  <c r="Y804" i="93"/>
  <c r="AC804" i="93"/>
  <c r="AG804" i="93"/>
  <c r="AK804" i="93"/>
  <c r="AO804" i="93"/>
  <c r="AS804" i="93"/>
  <c r="AW804" i="93"/>
  <c r="BA804" i="93"/>
  <c r="BE804" i="93"/>
  <c r="BI804" i="93"/>
  <c r="BM804" i="93"/>
  <c r="BQ804" i="93"/>
  <c r="BU804" i="93"/>
  <c r="BY804" i="93"/>
  <c r="CC804" i="93"/>
  <c r="CG804" i="93"/>
  <c r="CK804" i="93"/>
  <c r="CO804" i="93"/>
  <c r="CS804" i="93"/>
  <c r="CW804" i="93"/>
  <c r="DA804" i="93"/>
  <c r="DE804" i="93"/>
  <c r="DI804" i="93"/>
  <c r="DM804" i="93"/>
  <c r="DQ804" i="93"/>
  <c r="DU804" i="93"/>
  <c r="DY804" i="93"/>
  <c r="EC804" i="93"/>
  <c r="EG804" i="93"/>
  <c r="EK804" i="93"/>
  <c r="EO804" i="93"/>
  <c r="ES804" i="93"/>
  <c r="EW804" i="93"/>
  <c r="FA804" i="93"/>
  <c r="FE804" i="93"/>
  <c r="FI804" i="93"/>
  <c r="FM804" i="93"/>
  <c r="FQ804" i="93"/>
  <c r="FU804" i="93"/>
  <c r="FY804" i="93"/>
  <c r="GC804" i="93"/>
  <c r="GG804" i="93"/>
  <c r="GK804" i="93"/>
  <c r="GO804" i="93"/>
  <c r="GS804" i="93"/>
  <c r="GW804" i="93"/>
  <c r="HB804" i="93"/>
  <c r="HJ804" i="93"/>
  <c r="HR804" i="93"/>
  <c r="IT804" i="93"/>
  <c r="JJ804" i="93"/>
  <c r="Y803" i="93"/>
  <c r="AC803" i="93"/>
  <c r="AG803" i="93"/>
  <c r="AK803" i="93"/>
  <c r="AO803" i="93"/>
  <c r="AS803" i="93"/>
  <c r="AW803" i="93"/>
  <c r="BA803" i="93"/>
  <c r="BE803" i="93"/>
  <c r="BI803" i="93"/>
  <c r="BM803" i="93"/>
  <c r="BQ803" i="93"/>
  <c r="BU803" i="93"/>
  <c r="BY803" i="93"/>
  <c r="CC803" i="93"/>
  <c r="CG803" i="93"/>
  <c r="CK803" i="93"/>
  <c r="CO803" i="93"/>
  <c r="CS803" i="93"/>
  <c r="CW803" i="93"/>
  <c r="DA803" i="93"/>
  <c r="DE803" i="93"/>
  <c r="DI803" i="93"/>
  <c r="DM803" i="93"/>
  <c r="DQ803" i="93"/>
  <c r="DU803" i="93"/>
  <c r="DY803" i="93"/>
  <c r="EC803" i="93"/>
  <c r="EG803" i="93"/>
  <c r="EK803" i="93"/>
  <c r="EO803" i="93"/>
  <c r="ES803" i="93"/>
  <c r="EW803" i="93"/>
  <c r="FA803" i="93"/>
  <c r="FE803" i="93"/>
  <c r="FI803" i="93"/>
  <c r="FM803" i="93"/>
  <c r="FQ803" i="93"/>
  <c r="FU803" i="93"/>
  <c r="FY803" i="93"/>
  <c r="GC803" i="93"/>
  <c r="GG803" i="93"/>
  <c r="GK803" i="93"/>
  <c r="GO803" i="93"/>
  <c r="GS803" i="93"/>
  <c r="GW803" i="93"/>
  <c r="HA803" i="93"/>
  <c r="HE803" i="93"/>
  <c r="HI803" i="93"/>
  <c r="HM803" i="93"/>
  <c r="HQ803" i="93"/>
  <c r="HU803" i="93"/>
  <c r="HY803" i="93"/>
  <c r="IC803" i="93"/>
  <c r="IG803" i="93"/>
  <c r="IK803" i="93"/>
  <c r="IO803" i="93"/>
  <c r="IS803" i="93"/>
  <c r="IW803" i="93"/>
  <c r="JA803" i="93"/>
  <c r="JE803" i="93"/>
  <c r="JI803" i="93"/>
  <c r="JM803" i="93"/>
  <c r="JQ803" i="93"/>
  <c r="Z804" i="93"/>
  <c r="AD804" i="93"/>
  <c r="AH804" i="93"/>
  <c r="AL804" i="93"/>
  <c r="AP804" i="93"/>
  <c r="AT804" i="93"/>
  <c r="AX804" i="93"/>
  <c r="BB804" i="93"/>
  <c r="BF804" i="93"/>
  <c r="BJ804" i="93"/>
  <c r="BN804" i="93"/>
  <c r="BR804" i="93"/>
  <c r="BV804" i="93"/>
  <c r="BZ804" i="93"/>
  <c r="CD804" i="93"/>
  <c r="CH804" i="93"/>
  <c r="CL804" i="93"/>
  <c r="CP804" i="93"/>
  <c r="CT804" i="93"/>
  <c r="CX804" i="93"/>
  <c r="DB804" i="93"/>
  <c r="DF804" i="93"/>
  <c r="DJ804" i="93"/>
  <c r="DN804" i="93"/>
  <c r="DR804" i="93"/>
  <c r="DV804" i="93"/>
  <c r="DZ804" i="93"/>
  <c r="ED804" i="93"/>
  <c r="EH804" i="93"/>
  <c r="EL804" i="93"/>
  <c r="EP804" i="93"/>
  <c r="ET804" i="93"/>
  <c r="EX804" i="93"/>
  <c r="FB804" i="93"/>
  <c r="FF804" i="93"/>
  <c r="FJ804" i="93"/>
  <c r="FN804" i="93"/>
  <c r="FR804" i="93"/>
  <c r="FV804" i="93"/>
  <c r="FZ804" i="93"/>
  <c r="GD804" i="93"/>
  <c r="GH804" i="93"/>
  <c r="GL804" i="93"/>
  <c r="GP804" i="93"/>
  <c r="GT804" i="93"/>
  <c r="GX804" i="93"/>
  <c r="HC804" i="93"/>
  <c r="HK804" i="93"/>
  <c r="HS804" i="93"/>
  <c r="IX804" i="93"/>
  <c r="JN804" i="93"/>
  <c r="FB803" i="93"/>
  <c r="FF803" i="93"/>
  <c r="FJ803" i="93"/>
  <c r="FN803" i="93"/>
  <c r="FR803" i="93"/>
  <c r="FV803" i="93"/>
  <c r="GD803" i="93"/>
  <c r="GH803" i="93"/>
  <c r="GL803" i="93"/>
  <c r="GP803" i="93"/>
  <c r="GT803" i="93"/>
  <c r="GX803" i="93"/>
  <c r="HB803" i="93"/>
  <c r="HF803" i="93"/>
  <c r="HJ803" i="93"/>
  <c r="HN803" i="93"/>
  <c r="HR803" i="93"/>
  <c r="HV803" i="93"/>
  <c r="ID803" i="93"/>
  <c r="IL803" i="93"/>
  <c r="IP803" i="93"/>
  <c r="IT803" i="93"/>
  <c r="IX803" i="93"/>
  <c r="JB803" i="93"/>
  <c r="JF803" i="93"/>
  <c r="JJ803" i="93"/>
  <c r="BK804" i="93"/>
  <c r="BO804" i="93"/>
  <c r="BS804" i="93"/>
  <c r="BW804" i="93"/>
  <c r="CA804" i="93"/>
  <c r="CE804" i="93"/>
  <c r="CI804" i="93"/>
  <c r="CM804" i="93"/>
  <c r="CQ804" i="93"/>
  <c r="CU804" i="93"/>
  <c r="CY804" i="93"/>
  <c r="DC804" i="93"/>
  <c r="DG804" i="93"/>
  <c r="DK804" i="93"/>
  <c r="DO804" i="93"/>
  <c r="DS804" i="93"/>
  <c r="DW804" i="93"/>
  <c r="EA804" i="93"/>
  <c r="EE804" i="93"/>
  <c r="EI804" i="93"/>
  <c r="EM804" i="93"/>
  <c r="EQ804" i="93"/>
  <c r="EU804" i="93"/>
  <c r="EY804" i="93"/>
  <c r="FC804" i="93"/>
  <c r="FG804" i="93"/>
  <c r="FK804" i="93"/>
  <c r="FO804" i="93"/>
  <c r="FS804" i="93"/>
  <c r="FW804" i="93"/>
  <c r="GA804" i="93"/>
  <c r="GE804" i="93"/>
  <c r="GI804" i="93"/>
  <c r="GM804" i="93"/>
  <c r="GQ804" i="93"/>
  <c r="GU804" i="93"/>
  <c r="GY804" i="93"/>
  <c r="HF804" i="93"/>
  <c r="HN804" i="93"/>
  <c r="HV804" i="93"/>
  <c r="IL804" i="93"/>
  <c r="JB804" i="93"/>
  <c r="O839" i="93"/>
  <c r="A839" i="93" s="1"/>
  <c r="H885" i="93"/>
  <c r="L885" i="93"/>
  <c r="P885" i="93"/>
  <c r="I889" i="93"/>
  <c r="M889" i="93"/>
  <c r="G912" i="93"/>
  <c r="K912" i="93"/>
  <c r="G916" i="93"/>
  <c r="K916" i="93"/>
  <c r="C977" i="93"/>
  <c r="C975" i="93"/>
  <c r="C970" i="93"/>
  <c r="D969" i="93"/>
  <c r="K923" i="93"/>
  <c r="K942" i="93"/>
  <c r="Q1658" i="93"/>
  <c r="K1656" i="93"/>
  <c r="L1871" i="93"/>
  <c r="Q1871" i="93"/>
  <c r="K1862" i="93"/>
  <c r="Q1862" i="93"/>
  <c r="L1918" i="93"/>
  <c r="L1673" i="93"/>
  <c r="Q1673" i="93"/>
  <c r="M1719" i="93"/>
  <c r="O1719" i="93" s="1"/>
  <c r="M1721" i="93"/>
  <c r="P1721" i="93" s="1"/>
  <c r="Q1762" i="93"/>
  <c r="Q1763" i="93"/>
  <c r="L1766" i="93"/>
  <c r="Q1923" i="93"/>
  <c r="F945" i="93"/>
  <c r="K932" i="93"/>
  <c r="E60" i="84"/>
  <c r="K60" i="84"/>
  <c r="I60" i="84"/>
  <c r="G60" i="84"/>
  <c r="K59" i="84"/>
  <c r="E59" i="84"/>
  <c r="G59" i="84"/>
  <c r="F934" i="93"/>
  <c r="C58" i="84"/>
  <c r="I58" i="84" s="1"/>
  <c r="P175" i="75"/>
  <c r="F925" i="93"/>
  <c r="I61" i="84"/>
  <c r="G61" i="84"/>
  <c r="E61" i="84"/>
  <c r="J746" i="93"/>
  <c r="K746" i="93"/>
  <c r="L746" i="93"/>
  <c r="B5" i="92" l="1"/>
  <c r="O95" i="75"/>
  <c r="O97" i="75"/>
  <c r="O57" i="75"/>
  <c r="F1153" i="93"/>
  <c r="N111" i="75"/>
  <c r="K1160" i="93" s="1"/>
  <c r="M74" i="75"/>
  <c r="L58" i="75"/>
  <c r="O93" i="75"/>
  <c r="J110" i="75"/>
  <c r="M105" i="75"/>
  <c r="K107" i="75"/>
  <c r="O294" i="72"/>
  <c r="E37" i="72" s="1"/>
  <c r="E1591" i="93" s="1"/>
  <c r="O185" i="75"/>
  <c r="L86" i="75"/>
  <c r="O78" i="75"/>
  <c r="O72" i="75"/>
  <c r="E41" i="74"/>
  <c r="O94" i="75"/>
  <c r="O101" i="75"/>
  <c r="N77" i="75"/>
  <c r="O61" i="75"/>
  <c r="H67" i="66" s="1"/>
  <c r="E3" i="86"/>
  <c r="L104" i="75"/>
  <c r="L110" i="75"/>
  <c r="O114" i="75"/>
  <c r="O65" i="75"/>
  <c r="K117" i="75"/>
  <c r="K119" i="75" s="1"/>
  <c r="AX805" i="93"/>
  <c r="L822" i="93" s="1"/>
  <c r="BN805" i="93"/>
  <c r="M826" i="93" s="1"/>
  <c r="CT805" i="93"/>
  <c r="DJ805" i="93"/>
  <c r="K830" i="93" s="1"/>
  <c r="DN805" i="93"/>
  <c r="BB805" i="93"/>
  <c r="K821" i="93" s="1"/>
  <c r="GZ805" i="93"/>
  <c r="J846" i="93" s="1"/>
  <c r="JA805" i="93"/>
  <c r="EX805" i="93"/>
  <c r="CL805" i="93"/>
  <c r="Z805" i="93"/>
  <c r="M813" i="93" s="1"/>
  <c r="AH805" i="93"/>
  <c r="EP805" i="93"/>
  <c r="M836" i="93" s="1"/>
  <c r="K80" i="75"/>
  <c r="J77" i="75"/>
  <c r="N74" i="75"/>
  <c r="L115" i="75"/>
  <c r="L117" i="75" s="1"/>
  <c r="L119" i="75" s="1"/>
  <c r="K70" i="75"/>
  <c r="P185" i="75"/>
  <c r="JB805" i="93"/>
  <c r="EY805" i="93"/>
  <c r="ED805" i="93"/>
  <c r="BR805" i="93"/>
  <c r="L825" i="93" s="1"/>
  <c r="DB805" i="93"/>
  <c r="M875" i="93" s="1"/>
  <c r="AP805" i="93"/>
  <c r="N816" i="93" s="1"/>
  <c r="IF805" i="93"/>
  <c r="B480" i="93"/>
  <c r="DZ805" i="93"/>
  <c r="L833" i="93" s="1"/>
  <c r="EL805" i="93"/>
  <c r="N835" i="93" s="1"/>
  <c r="O91" i="75"/>
  <c r="M117" i="75"/>
  <c r="M119" i="75" s="1"/>
  <c r="N58" i="75"/>
  <c r="J151" i="78"/>
  <c r="J153" i="78" s="1"/>
  <c r="M111" i="75"/>
  <c r="ET805" i="93"/>
  <c r="CH805" i="93"/>
  <c r="M871" i="93" s="1"/>
  <c r="IP805" i="93"/>
  <c r="HU805" i="93"/>
  <c r="K850" i="93" s="1"/>
  <c r="GD805" i="93"/>
  <c r="M857" i="93" s="1"/>
  <c r="DR805" i="93"/>
  <c r="BF805" i="93"/>
  <c r="CP805" i="93"/>
  <c r="K873" i="93" s="1"/>
  <c r="AD805" i="93"/>
  <c r="L814" i="93" s="1"/>
  <c r="CD805" i="93"/>
  <c r="N870" i="93" s="1"/>
  <c r="N110" i="75"/>
  <c r="K105" i="75"/>
  <c r="K111" i="75"/>
  <c r="BJ805" i="93"/>
  <c r="BZ805" i="93"/>
  <c r="J870" i="93" s="1"/>
  <c r="DV805" i="93"/>
  <c r="M832" i="93" s="1"/>
  <c r="FJ805" i="93"/>
  <c r="M853" i="93" s="1"/>
  <c r="CX805" i="93"/>
  <c r="AL805" i="93"/>
  <c r="J816" i="93" s="1"/>
  <c r="IV805" i="93"/>
  <c r="JL805" i="93"/>
  <c r="IK805" i="93"/>
  <c r="EH805" i="93"/>
  <c r="J835" i="93" s="1"/>
  <c r="BV805" i="93"/>
  <c r="K818" i="93" s="1"/>
  <c r="DF805" i="93"/>
  <c r="L829" i="93" s="1"/>
  <c r="AT805" i="93"/>
  <c r="S568" i="93"/>
  <c r="G568" i="93"/>
  <c r="E473" i="93"/>
  <c r="E472" i="93"/>
  <c r="F34" i="78"/>
  <c r="F483" i="93"/>
  <c r="H1836" i="93"/>
  <c r="H76" i="93"/>
  <c r="H282" i="72"/>
  <c r="H65" i="66"/>
  <c r="I74" i="93"/>
  <c r="I63" i="66"/>
  <c r="D10" i="88"/>
  <c r="E10" i="88" s="1"/>
  <c r="M60" i="75"/>
  <c r="M62" i="75" s="1"/>
  <c r="H10" i="88" s="1"/>
  <c r="I10" i="88" s="1"/>
  <c r="H74" i="93"/>
  <c r="H63" i="66"/>
  <c r="JJ805" i="93"/>
  <c r="IO805" i="93"/>
  <c r="HT805" i="93"/>
  <c r="J850" i="93" s="1"/>
  <c r="GX805" i="93"/>
  <c r="M845" i="93" s="1"/>
  <c r="GC805" i="93"/>
  <c r="L857" i="93" s="1"/>
  <c r="FI805" i="93"/>
  <c r="L853" i="93" s="1"/>
  <c r="ES805" i="93"/>
  <c r="EC805" i="93"/>
  <c r="DM805" i="93"/>
  <c r="N830" i="93" s="1"/>
  <c r="CW805" i="93"/>
  <c r="CG805" i="93"/>
  <c r="L871" i="93" s="1"/>
  <c r="BQ805" i="93"/>
  <c r="K825" i="93" s="1"/>
  <c r="BA805" i="93"/>
  <c r="J821" i="93" s="1"/>
  <c r="AK805" i="93"/>
  <c r="FO805" i="93"/>
  <c r="M858" i="93" s="1"/>
  <c r="GE805" i="93"/>
  <c r="N857" i="93" s="1"/>
  <c r="GU805" i="93"/>
  <c r="J845" i="93" s="1"/>
  <c r="HK805" i="93"/>
  <c r="K848" i="93" s="1"/>
  <c r="K865" i="93" s="1"/>
  <c r="IA805" i="93"/>
  <c r="L851" i="93" s="1"/>
  <c r="IU805" i="93"/>
  <c r="JK805" i="93"/>
  <c r="O1848" i="93"/>
  <c r="IX805" i="93"/>
  <c r="IC805" i="93"/>
  <c r="N851" i="93" s="1"/>
  <c r="HH805" i="93"/>
  <c r="M847" i="93" s="1"/>
  <c r="GL805" i="93"/>
  <c r="K855" i="93" s="1"/>
  <c r="FQ805" i="93"/>
  <c r="J859" i="93" s="1"/>
  <c r="EZ805" i="93"/>
  <c r="EJ805" i="93"/>
  <c r="L835" i="93" s="1"/>
  <c r="DT805" i="93"/>
  <c r="K832" i="93" s="1"/>
  <c r="DD805" i="93"/>
  <c r="J829" i="93" s="1"/>
  <c r="CN805" i="93"/>
  <c r="BX805" i="93"/>
  <c r="M818" i="93" s="1"/>
  <c r="BH805" i="93"/>
  <c r="AR805" i="93"/>
  <c r="AB805" i="93"/>
  <c r="J814" i="93" s="1"/>
  <c r="IR805" i="93"/>
  <c r="EU805" i="93"/>
  <c r="EE805" i="93"/>
  <c r="DO805" i="93"/>
  <c r="CY805" i="93"/>
  <c r="J875" i="93" s="1"/>
  <c r="CI805" i="93"/>
  <c r="N871" i="93" s="1"/>
  <c r="N872" i="93" s="1"/>
  <c r="BS805" i="93"/>
  <c r="M825" i="93" s="1"/>
  <c r="BC805" i="93"/>
  <c r="L821" i="93" s="1"/>
  <c r="L823" i="93" s="1"/>
  <c r="AM805" i="93"/>
  <c r="K816" i="93" s="1"/>
  <c r="W805" i="93"/>
  <c r="J813" i="93" s="1"/>
  <c r="HP805" i="93"/>
  <c r="K849" i="93" s="1"/>
  <c r="K866" i="93" s="1"/>
  <c r="J568" i="93"/>
  <c r="J585" i="93" s="1"/>
  <c r="J587" i="93" s="1"/>
  <c r="J589" i="93" s="1"/>
  <c r="FT805" i="93"/>
  <c r="M859" i="93" s="1"/>
  <c r="M862" i="93" s="1"/>
  <c r="HE805" i="93"/>
  <c r="J847" i="93" s="1"/>
  <c r="FG805" i="93"/>
  <c r="J853" i="93" s="1"/>
  <c r="FZ805" i="93"/>
  <c r="N856" i="93" s="1"/>
  <c r="GV805" i="93"/>
  <c r="K845" i="93" s="1"/>
  <c r="HQ805" i="93"/>
  <c r="L849" i="93" s="1"/>
  <c r="L866" i="93" s="1"/>
  <c r="F1135" i="93"/>
  <c r="F41" i="73"/>
  <c r="M86" i="75"/>
  <c r="M106" i="75"/>
  <c r="D9" i="88"/>
  <c r="E9" i="88" s="1"/>
  <c r="L60" i="75"/>
  <c r="L62" i="75" s="1"/>
  <c r="H9" i="88" s="1"/>
  <c r="I9" i="88" s="1"/>
  <c r="E38" i="78"/>
  <c r="G34" i="78" s="1"/>
  <c r="G980" i="93"/>
  <c r="G988" i="93" s="1"/>
  <c r="G32" i="74"/>
  <c r="H980" i="93"/>
  <c r="H988" i="93" s="1"/>
  <c r="H32" i="74"/>
  <c r="C980" i="93"/>
  <c r="C988" i="93" s="1"/>
  <c r="C32" i="74"/>
  <c r="C1068" i="93"/>
  <c r="C1075" i="93" s="1"/>
  <c r="C119" i="74"/>
  <c r="B1010" i="93"/>
  <c r="B1018" i="93" s="1"/>
  <c r="B62" i="74"/>
  <c r="G1040" i="93"/>
  <c r="G1047" i="93" s="1"/>
  <c r="G91" i="74"/>
  <c r="B980" i="93"/>
  <c r="B988" i="93" s="1"/>
  <c r="B32" i="74"/>
  <c r="G1010" i="93"/>
  <c r="G1018" i="93" s="1"/>
  <c r="G62" i="74"/>
  <c r="E1068" i="93"/>
  <c r="E1075" i="93" s="1"/>
  <c r="E119" i="74"/>
  <c r="I769" i="93"/>
  <c r="K769" i="93" s="1"/>
  <c r="L769" i="93" s="1"/>
  <c r="K12" i="75"/>
  <c r="L12" i="75" s="1"/>
  <c r="K1009" i="93"/>
  <c r="K61" i="74"/>
  <c r="E27" i="87"/>
  <c r="K65" i="82"/>
  <c r="K65" i="74"/>
  <c r="D1009" i="93"/>
  <c r="E20" i="87"/>
  <c r="D65" i="82"/>
  <c r="D65" i="74"/>
  <c r="D61" i="74"/>
  <c r="K979" i="93"/>
  <c r="K35" i="74"/>
  <c r="K45" i="82"/>
  <c r="E17" i="87"/>
  <c r="K31" i="74"/>
  <c r="H1009" i="93"/>
  <c r="E24" i="87"/>
  <c r="H65" i="82"/>
  <c r="H65" i="74"/>
  <c r="H61" i="74"/>
  <c r="D979" i="93"/>
  <c r="D45" i="82"/>
  <c r="D31" i="74"/>
  <c r="E10" i="87"/>
  <c r="D35" i="74"/>
  <c r="B1039" i="93"/>
  <c r="E28" i="87"/>
  <c r="B94" i="74"/>
  <c r="B90" i="74"/>
  <c r="F1067" i="93"/>
  <c r="F118" i="74"/>
  <c r="F122" i="74"/>
  <c r="F1009" i="93"/>
  <c r="F61" i="74"/>
  <c r="E22" i="87"/>
  <c r="F65" i="82"/>
  <c r="F65" i="74"/>
  <c r="K1039" i="93"/>
  <c r="K90" i="74"/>
  <c r="K94" i="74"/>
  <c r="G1776" i="93"/>
  <c r="J1937" i="93"/>
  <c r="G222" i="72"/>
  <c r="J222" i="72" s="1"/>
  <c r="J1776" i="93" s="1"/>
  <c r="P45" i="73"/>
  <c r="P1139" i="93" s="1"/>
  <c r="I422" i="93"/>
  <c r="K9" i="88"/>
  <c r="K23" i="88" s="1"/>
  <c r="K28" i="88" s="1"/>
  <c r="F39" i="88" s="1"/>
  <c r="B4" i="82"/>
  <c r="C18" i="84"/>
  <c r="C38" i="84" s="1"/>
  <c r="J383" i="72"/>
  <c r="I59" i="68"/>
  <c r="D1069" i="93"/>
  <c r="D1076" i="93" s="1"/>
  <c r="D120" i="74"/>
  <c r="E981" i="93"/>
  <c r="E989" i="93" s="1"/>
  <c r="E33" i="74"/>
  <c r="H981" i="93"/>
  <c r="H989" i="93" s="1"/>
  <c r="H33" i="74"/>
  <c r="K1041" i="93"/>
  <c r="K1048" i="93" s="1"/>
  <c r="K92" i="74"/>
  <c r="J981" i="93"/>
  <c r="J989" i="93" s="1"/>
  <c r="J33" i="74"/>
  <c r="D1041" i="93"/>
  <c r="D1048" i="93" s="1"/>
  <c r="D92" i="74"/>
  <c r="C981" i="93"/>
  <c r="C989" i="93" s="1"/>
  <c r="C33" i="74"/>
  <c r="H1011" i="93"/>
  <c r="H1019" i="93" s="1"/>
  <c r="H63" i="74"/>
  <c r="K1153" i="93"/>
  <c r="K59" i="73"/>
  <c r="F1159" i="93"/>
  <c r="F65" i="73"/>
  <c r="J105" i="75"/>
  <c r="O96" i="75"/>
  <c r="G1012" i="93"/>
  <c r="G1020" i="93" s="1"/>
  <c r="G64" i="74"/>
  <c r="B1012" i="93"/>
  <c r="B1020" i="93" s="1"/>
  <c r="B64" i="74"/>
  <c r="B982" i="93"/>
  <c r="B990" i="93" s="1"/>
  <c r="B34" i="74"/>
  <c r="G1042" i="93"/>
  <c r="G1049" i="93" s="1"/>
  <c r="G93" i="74"/>
  <c r="H1042" i="93"/>
  <c r="H1049" i="93" s="1"/>
  <c r="H93" i="74"/>
  <c r="K982" i="93"/>
  <c r="K990" i="93" s="1"/>
  <c r="K34" i="74"/>
  <c r="I1042" i="93"/>
  <c r="I1049" i="93" s="1"/>
  <c r="I93" i="74"/>
  <c r="H982" i="93"/>
  <c r="H990" i="93" s="1"/>
  <c r="H34" i="74"/>
  <c r="F1042" i="93"/>
  <c r="F1049" i="93" s="1"/>
  <c r="F93" i="74"/>
  <c r="F1156" i="93"/>
  <c r="F62" i="73"/>
  <c r="O76" i="75"/>
  <c r="M66" i="75"/>
  <c r="H1151" i="93"/>
  <c r="K1143" i="93"/>
  <c r="K49" i="73"/>
  <c r="JE805" i="93"/>
  <c r="IJ805" i="93"/>
  <c r="HN805" i="93"/>
  <c r="N848" i="93" s="1"/>
  <c r="N865" i="93" s="1"/>
  <c r="GS805" i="93"/>
  <c r="M844" i="93" s="1"/>
  <c r="FX805" i="93"/>
  <c r="L856" i="93" s="1"/>
  <c r="FE805" i="93"/>
  <c r="M852" i="93" s="1"/>
  <c r="EO805" i="93"/>
  <c r="L836" i="93" s="1"/>
  <c r="DY805" i="93"/>
  <c r="K833" i="93" s="1"/>
  <c r="DI805" i="93"/>
  <c r="J830" i="93" s="1"/>
  <c r="CS805" i="93"/>
  <c r="N873" i="93" s="1"/>
  <c r="CC805" i="93"/>
  <c r="M870" i="93" s="1"/>
  <c r="M872" i="93" s="1"/>
  <c r="BM805" i="93"/>
  <c r="L826" i="93" s="1"/>
  <c r="L827" i="93" s="1"/>
  <c r="AW805" i="93"/>
  <c r="K822" i="93" s="1"/>
  <c r="K823" i="93" s="1"/>
  <c r="AG805" i="93"/>
  <c r="FS805" i="93"/>
  <c r="L859" i="93" s="1"/>
  <c r="GI805" i="93"/>
  <c r="M854" i="93" s="1"/>
  <c r="GY805" i="93"/>
  <c r="N845" i="93" s="1"/>
  <c r="HO805" i="93"/>
  <c r="J849" i="93" s="1"/>
  <c r="II805" i="93"/>
  <c r="IY805" i="93"/>
  <c r="JO805" i="93"/>
  <c r="IS805" i="93"/>
  <c r="HX805" i="93"/>
  <c r="N850" i="93" s="1"/>
  <c r="HB805" i="93"/>
  <c r="L846" i="93" s="1"/>
  <c r="GG805" i="93"/>
  <c r="K854" i="93" s="1"/>
  <c r="FL805" i="93"/>
  <c r="J858" i="93" s="1"/>
  <c r="EV805" i="93"/>
  <c r="EF805" i="93"/>
  <c r="DP805" i="93"/>
  <c r="CZ805" i="93"/>
  <c r="K875" i="93" s="1"/>
  <c r="CJ805" i="93"/>
  <c r="BT805" i="93"/>
  <c r="N825" i="93" s="1"/>
  <c r="BD805" i="93"/>
  <c r="M821" i="93" s="1"/>
  <c r="AN805" i="93"/>
  <c r="L816" i="93" s="1"/>
  <c r="X805" i="93"/>
  <c r="K813" i="93" s="1"/>
  <c r="JM805" i="93"/>
  <c r="IL805" i="93"/>
  <c r="EQ805" i="93"/>
  <c r="N836" i="93" s="1"/>
  <c r="EA805" i="93"/>
  <c r="M833" i="93" s="1"/>
  <c r="DK805" i="93"/>
  <c r="L830" i="93" s="1"/>
  <c r="CU805" i="93"/>
  <c r="CE805" i="93"/>
  <c r="J871" i="93" s="1"/>
  <c r="BO805" i="93"/>
  <c r="N826" i="93" s="1"/>
  <c r="AY805" i="93"/>
  <c r="M822" i="93" s="1"/>
  <c r="AI805" i="93"/>
  <c r="GT805" i="93"/>
  <c r="N844" i="93" s="1"/>
  <c r="A805" i="93"/>
  <c r="A762" i="93" s="1"/>
  <c r="O1743" i="93"/>
  <c r="K229" i="72"/>
  <c r="K1783" i="93" s="1"/>
  <c r="E33" i="72"/>
  <c r="E1587" i="93" s="1"/>
  <c r="FB805" i="93"/>
  <c r="J852" i="93" s="1"/>
  <c r="O1621" i="93"/>
  <c r="G1157" i="93"/>
  <c r="G1156" i="93"/>
  <c r="G1152" i="93"/>
  <c r="G1151" i="93"/>
  <c r="I1151" i="93" s="1"/>
  <c r="G1150" i="93"/>
  <c r="G1144" i="93"/>
  <c r="G1137" i="93"/>
  <c r="G1159" i="93"/>
  <c r="G1153" i="93"/>
  <c r="G1146" i="93"/>
  <c r="G1145" i="93"/>
  <c r="G1143" i="93"/>
  <c r="G1142" i="93"/>
  <c r="G1139" i="93"/>
  <c r="G1138" i="93"/>
  <c r="G1136" i="93"/>
  <c r="G1135" i="93"/>
  <c r="G1160" i="93"/>
  <c r="G1149" i="93"/>
  <c r="G1158" i="93"/>
  <c r="G58" i="73"/>
  <c r="G57" i="73"/>
  <c r="G56" i="73"/>
  <c r="G42" i="73"/>
  <c r="G41" i="73"/>
  <c r="G66" i="73"/>
  <c r="G65" i="73"/>
  <c r="G64" i="73"/>
  <c r="P58" i="73"/>
  <c r="G63" i="73"/>
  <c r="G62" i="73"/>
  <c r="G55" i="73"/>
  <c r="G44" i="73"/>
  <c r="G51" i="73"/>
  <c r="G49" i="73"/>
  <c r="G59" i="73"/>
  <c r="G45" i="73"/>
  <c r="G43" i="73"/>
  <c r="G52" i="73"/>
  <c r="G50" i="73"/>
  <c r="G48" i="73"/>
  <c r="JQ805" i="93"/>
  <c r="GJ805" i="93"/>
  <c r="N854" i="93" s="1"/>
  <c r="FK805" i="93"/>
  <c r="N853" i="93" s="1"/>
  <c r="GF805" i="93"/>
  <c r="J854" i="93" s="1"/>
  <c r="HA805" i="93"/>
  <c r="K846" i="93" s="1"/>
  <c r="K867" i="93" s="1"/>
  <c r="HV805" i="93"/>
  <c r="L850" i="93" s="1"/>
  <c r="K37" i="84"/>
  <c r="K35" i="84"/>
  <c r="I44" i="68"/>
  <c r="I407" i="93" s="1"/>
  <c r="J111" i="75"/>
  <c r="O90" i="75"/>
  <c r="L105" i="75"/>
  <c r="O64" i="75"/>
  <c r="J66" i="75"/>
  <c r="O66" i="75" s="1"/>
  <c r="D980" i="93"/>
  <c r="D988" i="93" s="1"/>
  <c r="D32" i="74"/>
  <c r="I1010" i="93"/>
  <c r="I1018" i="93" s="1"/>
  <c r="I62" i="74"/>
  <c r="D1010" i="93"/>
  <c r="D1018" i="93" s="1"/>
  <c r="D62" i="74"/>
  <c r="K980" i="93"/>
  <c r="K988" i="93" s="1"/>
  <c r="K32" i="74"/>
  <c r="F1068" i="93"/>
  <c r="F1075" i="93" s="1"/>
  <c r="F119" i="74"/>
  <c r="F1010" i="93"/>
  <c r="F1018" i="93" s="1"/>
  <c r="F62" i="74"/>
  <c r="K1040" i="93"/>
  <c r="K1047" i="93" s="1"/>
  <c r="K91" i="74"/>
  <c r="F980" i="93"/>
  <c r="F988" i="93" s="1"/>
  <c r="F32" i="74"/>
  <c r="K1010" i="93"/>
  <c r="K1018" i="93" s="1"/>
  <c r="K62" i="74"/>
  <c r="L394" i="93"/>
  <c r="L395" i="93" s="1"/>
  <c r="L32" i="68"/>
  <c r="K1145" i="93"/>
  <c r="K51" i="73"/>
  <c r="D1039" i="93"/>
  <c r="D90" i="74"/>
  <c r="E30" i="87"/>
  <c r="D94" i="74"/>
  <c r="E1039" i="93"/>
  <c r="E90" i="74"/>
  <c r="E31" i="87"/>
  <c r="E94" i="74"/>
  <c r="G1009" i="93"/>
  <c r="G61" i="74"/>
  <c r="E23" i="87"/>
  <c r="G65" i="82"/>
  <c r="G65" i="74"/>
  <c r="I1039" i="93"/>
  <c r="I90" i="74"/>
  <c r="I94" i="74"/>
  <c r="H979" i="93"/>
  <c r="H45" i="82"/>
  <c r="H31" i="74"/>
  <c r="E14" i="87"/>
  <c r="H35" i="74"/>
  <c r="F1039" i="93"/>
  <c r="E32" i="87"/>
  <c r="F94" i="74"/>
  <c r="F90" i="74"/>
  <c r="E979" i="93"/>
  <c r="E45" i="82"/>
  <c r="E31" i="74"/>
  <c r="E11" i="87"/>
  <c r="E35" i="74"/>
  <c r="J1009" i="93"/>
  <c r="J61" i="74"/>
  <c r="E26" i="87"/>
  <c r="J65" i="82"/>
  <c r="J65" i="74"/>
  <c r="C1067" i="93"/>
  <c r="C122" i="74"/>
  <c r="C118" i="74"/>
  <c r="M58" i="73"/>
  <c r="O87" i="75"/>
  <c r="F1139" i="93"/>
  <c r="F45" i="73"/>
  <c r="I981" i="93"/>
  <c r="I989" i="93" s="1"/>
  <c r="I33" i="74"/>
  <c r="D981" i="93"/>
  <c r="D989" i="93" s="1"/>
  <c r="D33" i="74"/>
  <c r="I1011" i="93"/>
  <c r="I1019" i="93" s="1"/>
  <c r="I63" i="74"/>
  <c r="B1011" i="93"/>
  <c r="B1019" i="93" s="1"/>
  <c r="B63" i="74"/>
  <c r="E1069" i="93"/>
  <c r="E1076" i="93" s="1"/>
  <c r="E120" i="74"/>
  <c r="C1011" i="93"/>
  <c r="C1019" i="93" s="1"/>
  <c r="C63" i="74"/>
  <c r="H1041" i="93"/>
  <c r="H1048" i="93" s="1"/>
  <c r="H92" i="74"/>
  <c r="G981" i="93"/>
  <c r="G989" i="93" s="1"/>
  <c r="G33" i="74"/>
  <c r="E1041" i="93"/>
  <c r="E1048" i="93" s="1"/>
  <c r="E92" i="74"/>
  <c r="J109" i="75"/>
  <c r="O92" i="75"/>
  <c r="N107" i="75"/>
  <c r="N84" i="75"/>
  <c r="K104" i="75"/>
  <c r="O79" i="75"/>
  <c r="O69" i="75"/>
  <c r="C1042" i="93"/>
  <c r="C1049" i="93" s="1"/>
  <c r="C93" i="74"/>
  <c r="J1012" i="93"/>
  <c r="J1020" i="93" s="1"/>
  <c r="J64" i="74"/>
  <c r="J982" i="93"/>
  <c r="J990" i="93" s="1"/>
  <c r="J34" i="74"/>
  <c r="F1070" i="93"/>
  <c r="F1077" i="93" s="1"/>
  <c r="F121" i="74"/>
  <c r="B1070" i="93"/>
  <c r="B1077" i="93" s="1"/>
  <c r="B121" i="74"/>
  <c r="D1012" i="93"/>
  <c r="D1020" i="93" s="1"/>
  <c r="D64" i="74"/>
  <c r="D1070" i="93"/>
  <c r="D1077" i="93" s="1"/>
  <c r="D121" i="74"/>
  <c r="E1012" i="93"/>
  <c r="E1020" i="93" s="1"/>
  <c r="E64" i="74"/>
  <c r="J1042" i="93"/>
  <c r="J1049" i="93" s="1"/>
  <c r="J93" i="74"/>
  <c r="H18" i="84"/>
  <c r="C40" i="84" s="1"/>
  <c r="F47" i="78"/>
  <c r="K58" i="75"/>
  <c r="M56" i="73"/>
  <c r="C972" i="93"/>
  <c r="C978" i="93" s="1"/>
  <c r="IZ805" i="93"/>
  <c r="ID805" i="93"/>
  <c r="HI805" i="93"/>
  <c r="N847" i="93" s="1"/>
  <c r="N868" i="93" s="1"/>
  <c r="GN805" i="93"/>
  <c r="M855" i="93" s="1"/>
  <c r="FR805" i="93"/>
  <c r="K859" i="93" s="1"/>
  <c r="FA805" i="93"/>
  <c r="EK805" i="93"/>
  <c r="M835" i="93" s="1"/>
  <c r="DU805" i="93"/>
  <c r="L832" i="93" s="1"/>
  <c r="DE805" i="93"/>
  <c r="K829" i="93" s="1"/>
  <c r="CO805" i="93"/>
  <c r="J873" i="93" s="1"/>
  <c r="BY805" i="93"/>
  <c r="N818" i="93" s="1"/>
  <c r="BI805" i="93"/>
  <c r="AS805" i="93"/>
  <c r="AC805" i="93"/>
  <c r="K814" i="93" s="1"/>
  <c r="FW805" i="93"/>
  <c r="K856" i="93" s="1"/>
  <c r="GM805" i="93"/>
  <c r="L855" i="93" s="1"/>
  <c r="HC805" i="93"/>
  <c r="M846" i="93" s="1"/>
  <c r="HS805" i="93"/>
  <c r="N849" i="93" s="1"/>
  <c r="N866" i="93" s="1"/>
  <c r="IM805" i="93"/>
  <c r="JC805" i="93"/>
  <c r="E997" i="93"/>
  <c r="F41" i="74"/>
  <c r="JI805" i="93"/>
  <c r="IN805" i="93"/>
  <c r="HR805" i="93"/>
  <c r="M849" i="93" s="1"/>
  <c r="M866" i="93" s="1"/>
  <c r="GW805" i="93"/>
  <c r="L845" i="93" s="1"/>
  <c r="GB805" i="93"/>
  <c r="K857" i="93" s="1"/>
  <c r="FH805" i="93"/>
  <c r="K853" i="93" s="1"/>
  <c r="ER805" i="93"/>
  <c r="EB805" i="93"/>
  <c r="N833" i="93" s="1"/>
  <c r="DL805" i="93"/>
  <c r="M830" i="93" s="1"/>
  <c r="CV805" i="93"/>
  <c r="CF805" i="93"/>
  <c r="K871" i="93" s="1"/>
  <c r="BP805" i="93"/>
  <c r="J825" i="93" s="1"/>
  <c r="AZ805" i="93"/>
  <c r="N822" i="93" s="1"/>
  <c r="AJ805" i="93"/>
  <c r="IE805" i="93"/>
  <c r="JH805" i="93"/>
  <c r="IG805" i="93"/>
  <c r="EM805" i="93"/>
  <c r="J836" i="93" s="1"/>
  <c r="DW805" i="93"/>
  <c r="N832" i="93" s="1"/>
  <c r="DG805" i="93"/>
  <c r="M829" i="93" s="1"/>
  <c r="CQ805" i="93"/>
  <c r="L873" i="93" s="1"/>
  <c r="CA805" i="93"/>
  <c r="K870" i="93" s="1"/>
  <c r="K872" i="93" s="1"/>
  <c r="BK805" i="93"/>
  <c r="J826" i="93" s="1"/>
  <c r="AU805" i="93"/>
  <c r="AE805" i="93"/>
  <c r="M814" i="93" s="1"/>
  <c r="M815" i="93" s="1"/>
  <c r="JF805" i="93"/>
  <c r="FY805" i="93"/>
  <c r="M856" i="93" s="1"/>
  <c r="HJ805" i="93"/>
  <c r="J848" i="93" s="1"/>
  <c r="FN805" i="93"/>
  <c r="L858" i="93" s="1"/>
  <c r="FP805" i="93"/>
  <c r="N858" i="93" s="1"/>
  <c r="GK805" i="93"/>
  <c r="J855" i="93" s="1"/>
  <c r="HF805" i="93"/>
  <c r="K847" i="93" s="1"/>
  <c r="IB805" i="93"/>
  <c r="M851" i="93" s="1"/>
  <c r="M568" i="93"/>
  <c r="M585" i="93" s="1"/>
  <c r="M587" i="93" s="1"/>
  <c r="M589" i="93" s="1"/>
  <c r="O1665" i="93"/>
  <c r="K230" i="72"/>
  <c r="K1784" i="93" s="1"/>
  <c r="D20" i="74"/>
  <c r="E13" i="74"/>
  <c r="K1138" i="93"/>
  <c r="K44" i="73"/>
  <c r="O186" i="75"/>
  <c r="P186" i="75"/>
  <c r="K1151" i="93"/>
  <c r="K57" i="73"/>
  <c r="K110" i="75"/>
  <c r="O110" i="75" s="1"/>
  <c r="O98" i="75"/>
  <c r="M104" i="75"/>
  <c r="O73" i="75"/>
  <c r="H1010" i="93"/>
  <c r="H1018" i="93" s="1"/>
  <c r="H62" i="74"/>
  <c r="B1040" i="93"/>
  <c r="B1047" i="93" s="1"/>
  <c r="B91" i="74"/>
  <c r="E1040" i="93"/>
  <c r="E1047" i="93" s="1"/>
  <c r="E91" i="74"/>
  <c r="E1010" i="93"/>
  <c r="E1018" i="93" s="1"/>
  <c r="E62" i="74"/>
  <c r="E980" i="93"/>
  <c r="E988" i="93" s="1"/>
  <c r="E32" i="74"/>
  <c r="J1010" i="93"/>
  <c r="J1018" i="93" s="1"/>
  <c r="J62" i="74"/>
  <c r="D1068" i="93"/>
  <c r="D1075" i="93" s="1"/>
  <c r="D119" i="74"/>
  <c r="J980" i="93"/>
  <c r="J988" i="93" s="1"/>
  <c r="J32" i="74"/>
  <c r="D1040" i="93"/>
  <c r="D1047" i="93" s="1"/>
  <c r="D91" i="74"/>
  <c r="T1728" i="93"/>
  <c r="M763" i="93"/>
  <c r="O51" i="93"/>
  <c r="O763" i="93"/>
  <c r="T174" i="72"/>
  <c r="O6" i="75"/>
  <c r="M6" i="75"/>
  <c r="P1136" i="93"/>
  <c r="L58" i="73"/>
  <c r="N58" i="73" s="1"/>
  <c r="L57" i="73"/>
  <c r="L56" i="73"/>
  <c r="N56" i="73" s="1"/>
  <c r="L42" i="73"/>
  <c r="L41" i="73"/>
  <c r="L66" i="73"/>
  <c r="L65" i="73"/>
  <c r="L64" i="73"/>
  <c r="L45" i="73"/>
  <c r="L44" i="73"/>
  <c r="L43" i="73"/>
  <c r="L59" i="73"/>
  <c r="L52" i="73"/>
  <c r="L51" i="73"/>
  <c r="L50" i="73"/>
  <c r="L49" i="73"/>
  <c r="L48" i="73"/>
  <c r="L63" i="73"/>
  <c r="L62" i="73"/>
  <c r="L55" i="73"/>
  <c r="I59" i="73"/>
  <c r="H59" i="73"/>
  <c r="F1146" i="93"/>
  <c r="F52" i="73"/>
  <c r="J115" i="75"/>
  <c r="G979" i="93"/>
  <c r="G35" i="74"/>
  <c r="G45" i="82"/>
  <c r="E13" i="87"/>
  <c r="G31" i="74"/>
  <c r="B979" i="93"/>
  <c r="E8" i="87"/>
  <c r="B35" i="74"/>
  <c r="C75" i="84"/>
  <c r="B45" i="82"/>
  <c r="B31" i="74"/>
  <c r="E1067" i="93"/>
  <c r="E118" i="74"/>
  <c r="E122" i="74"/>
  <c r="H1039" i="93"/>
  <c r="H90" i="74"/>
  <c r="H94" i="74"/>
  <c r="D1067" i="93"/>
  <c r="D118" i="74"/>
  <c r="D122" i="74"/>
  <c r="E1009" i="93"/>
  <c r="E21" i="87"/>
  <c r="E61" i="74"/>
  <c r="E65" i="82"/>
  <c r="E65" i="74"/>
  <c r="J1039" i="93"/>
  <c r="J94" i="74"/>
  <c r="J90" i="74"/>
  <c r="I979" i="93"/>
  <c r="I45" i="82"/>
  <c r="I31" i="74"/>
  <c r="E15" i="87"/>
  <c r="I35" i="74"/>
  <c r="C1039" i="93"/>
  <c r="E29" i="87"/>
  <c r="C90" i="74"/>
  <c r="C94" i="74"/>
  <c r="M1152" i="93"/>
  <c r="N1152" i="93"/>
  <c r="F1142" i="93"/>
  <c r="F48" i="73"/>
  <c r="E1011" i="93"/>
  <c r="E1019" i="93" s="1"/>
  <c r="E63" i="74"/>
  <c r="F1011" i="93"/>
  <c r="F1019" i="93" s="1"/>
  <c r="F63" i="74"/>
  <c r="B1041" i="93"/>
  <c r="B1048" i="93" s="1"/>
  <c r="B92" i="74"/>
  <c r="J1011" i="93"/>
  <c r="J1019" i="93" s="1"/>
  <c r="J63" i="74"/>
  <c r="B981" i="93"/>
  <c r="B989" i="93" s="1"/>
  <c r="B33" i="74"/>
  <c r="G1011" i="93"/>
  <c r="G1019" i="93" s="1"/>
  <c r="G63" i="74"/>
  <c r="B1069" i="93"/>
  <c r="B1076" i="93" s="1"/>
  <c r="B120" i="74"/>
  <c r="K981" i="93"/>
  <c r="K989" i="93" s="1"/>
  <c r="K33" i="74"/>
  <c r="I1041" i="93"/>
  <c r="I1048" i="93" s="1"/>
  <c r="I92" i="74"/>
  <c r="F1150" i="93"/>
  <c r="F56" i="73"/>
  <c r="J107" i="75"/>
  <c r="O88" i="75"/>
  <c r="J84" i="75"/>
  <c r="O75" i="75"/>
  <c r="D11" i="88"/>
  <c r="E11" i="88" s="1"/>
  <c r="N60" i="75"/>
  <c r="N62" i="75" s="1"/>
  <c r="H11" i="88" s="1"/>
  <c r="I11" i="88" s="1"/>
  <c r="K1042" i="93"/>
  <c r="K1049" i="93" s="1"/>
  <c r="K93" i="74"/>
  <c r="D1042" i="93"/>
  <c r="D1049" i="93" s="1"/>
  <c r="D93" i="74"/>
  <c r="C1012" i="93"/>
  <c r="C1020" i="93" s="1"/>
  <c r="C64" i="74"/>
  <c r="E982" i="93"/>
  <c r="E990" i="93" s="1"/>
  <c r="E34" i="74"/>
  <c r="C982" i="93"/>
  <c r="C990" i="93" s="1"/>
  <c r="C34" i="74"/>
  <c r="H1012" i="93"/>
  <c r="H1020" i="93" s="1"/>
  <c r="H64" i="74"/>
  <c r="I1012" i="93"/>
  <c r="I1020" i="93" s="1"/>
  <c r="I64" i="74"/>
  <c r="E1070" i="93"/>
  <c r="E1077" i="93" s="1"/>
  <c r="E121" i="74"/>
  <c r="F1144" i="93"/>
  <c r="F50" i="73"/>
  <c r="O68" i="75"/>
  <c r="E55" i="86"/>
  <c r="H35" i="86"/>
  <c r="D35" i="86"/>
  <c r="H15" i="86"/>
  <c r="D15" i="86"/>
  <c r="H55" i="86"/>
  <c r="D55" i="86"/>
  <c r="G35" i="86"/>
  <c r="C35" i="86"/>
  <c r="G15" i="86"/>
  <c r="C15" i="86"/>
  <c r="G55" i="86"/>
  <c r="C55" i="86"/>
  <c r="F35" i="86"/>
  <c r="O17" i="86"/>
  <c r="F15" i="86"/>
  <c r="F55" i="86"/>
  <c r="I35" i="86"/>
  <c r="E35" i="86"/>
  <c r="I15" i="86"/>
  <c r="E15" i="86"/>
  <c r="O16" i="86"/>
  <c r="M1150" i="93"/>
  <c r="N1150" i="93"/>
  <c r="D970" i="93"/>
  <c r="E969" i="93"/>
  <c r="D971" i="93"/>
  <c r="D977" i="93"/>
  <c r="D975" i="93"/>
  <c r="JP805" i="93"/>
  <c r="IT805" i="93"/>
  <c r="HY805" i="93"/>
  <c r="J851" i="93" s="1"/>
  <c r="HD805" i="93"/>
  <c r="N846" i="93" s="1"/>
  <c r="N867" i="93" s="1"/>
  <c r="GH805" i="93"/>
  <c r="L854" i="93" s="1"/>
  <c r="FM805" i="93"/>
  <c r="K858" i="93" s="1"/>
  <c r="EW805" i="93"/>
  <c r="EG805" i="93"/>
  <c r="DQ805" i="93"/>
  <c r="M831" i="93" s="1"/>
  <c r="DA805" i="93"/>
  <c r="L875" i="93" s="1"/>
  <c r="CK805" i="93"/>
  <c r="BU805" i="93"/>
  <c r="J818" i="93" s="1"/>
  <c r="BE805" i="93"/>
  <c r="N821" i="93" s="1"/>
  <c r="N823" i="93" s="1"/>
  <c r="AO805" i="93"/>
  <c r="M816" i="93" s="1"/>
  <c r="Y805" i="93"/>
  <c r="L813" i="93" s="1"/>
  <c r="L815" i="93" s="1"/>
  <c r="L817" i="93" s="1"/>
  <c r="GA805" i="93"/>
  <c r="J857" i="93" s="1"/>
  <c r="GQ805" i="93"/>
  <c r="K844" i="93" s="1"/>
  <c r="HG805" i="93"/>
  <c r="L847" i="93" s="1"/>
  <c r="L868" i="93" s="1"/>
  <c r="HW805" i="93"/>
  <c r="M850" i="93" s="1"/>
  <c r="IQ805" i="93"/>
  <c r="JG805" i="93"/>
  <c r="JD805" i="93"/>
  <c r="IH805" i="93"/>
  <c r="HM805" i="93"/>
  <c r="M848" i="93" s="1"/>
  <c r="M865" i="93" s="1"/>
  <c r="GR805" i="93"/>
  <c r="L844" i="93" s="1"/>
  <c r="FV805" i="93"/>
  <c r="J856" i="93" s="1"/>
  <c r="O856" i="93" s="1"/>
  <c r="FD805" i="93"/>
  <c r="L852" i="93" s="1"/>
  <c r="L861" i="93" s="1"/>
  <c r="EN805" i="93"/>
  <c r="K836" i="93" s="1"/>
  <c r="DX805" i="93"/>
  <c r="J833" i="93" s="1"/>
  <c r="DH805" i="93"/>
  <c r="N829" i="93" s="1"/>
  <c r="N831" i="93" s="1"/>
  <c r="CR805" i="93"/>
  <c r="M873" i="93" s="1"/>
  <c r="CB805" i="93"/>
  <c r="L870" i="93" s="1"/>
  <c r="L872" i="93" s="1"/>
  <c r="L874" i="93" s="1"/>
  <c r="BL805" i="93"/>
  <c r="K826" i="93" s="1"/>
  <c r="AV805" i="93"/>
  <c r="J822" i="93" s="1"/>
  <c r="O822" i="93" s="1"/>
  <c r="AF805" i="93"/>
  <c r="N814" i="93" s="1"/>
  <c r="IW805" i="93"/>
  <c r="EI805" i="93"/>
  <c r="K835" i="93" s="1"/>
  <c r="DS805" i="93"/>
  <c r="J832" i="93" s="1"/>
  <c r="DC805" i="93"/>
  <c r="N875" i="93" s="1"/>
  <c r="CM805" i="93"/>
  <c r="BW805" i="93"/>
  <c r="L818" i="93" s="1"/>
  <c r="BG805" i="93"/>
  <c r="AQ805" i="93"/>
  <c r="AA805" i="93"/>
  <c r="N813" i="93" s="1"/>
  <c r="N815" i="93" s="1"/>
  <c r="FF805" i="93"/>
  <c r="N852" i="93" s="1"/>
  <c r="P568" i="93"/>
  <c r="P585" i="93" s="1"/>
  <c r="P587" i="93" s="1"/>
  <c r="P589" i="93" s="1"/>
  <c r="GO805" i="93"/>
  <c r="N855" i="93" s="1"/>
  <c r="JN805" i="93"/>
  <c r="P1665" i="93"/>
  <c r="L230" i="72"/>
  <c r="L1784" i="93" s="1"/>
  <c r="P1621" i="93"/>
  <c r="Q58" i="73"/>
  <c r="HZ805" i="93"/>
  <c r="K851" i="93" s="1"/>
  <c r="FC805" i="93"/>
  <c r="K852" i="93" s="1"/>
  <c r="K861" i="93" s="1"/>
  <c r="FU805" i="93"/>
  <c r="N859" i="93" s="1"/>
  <c r="GP805" i="93"/>
  <c r="J844" i="93" s="1"/>
  <c r="HL805" i="93"/>
  <c r="L848" i="93" s="1"/>
  <c r="L865" i="93" s="1"/>
  <c r="O14" i="86"/>
  <c r="C68" i="84"/>
  <c r="P1562" i="93"/>
  <c r="C984" i="93"/>
  <c r="D28" i="74"/>
  <c r="C53" i="82"/>
  <c r="F1149" i="93"/>
  <c r="F55" i="73"/>
  <c r="O108" i="75"/>
  <c r="F1152" i="93"/>
  <c r="F58" i="73"/>
  <c r="L107" i="75"/>
  <c r="L84" i="75"/>
  <c r="O102" i="75"/>
  <c r="O116" i="75"/>
  <c r="I1040" i="93"/>
  <c r="I1047" i="93" s="1"/>
  <c r="I91" i="74"/>
  <c r="J1040" i="93"/>
  <c r="J1047" i="93" s="1"/>
  <c r="J91" i="74"/>
  <c r="B1068" i="93"/>
  <c r="B1075" i="93" s="1"/>
  <c r="B119" i="74"/>
  <c r="F1040" i="93"/>
  <c r="F1047" i="93" s="1"/>
  <c r="F91" i="74"/>
  <c r="I980" i="93"/>
  <c r="I988" i="93" s="1"/>
  <c r="I32" i="74"/>
  <c r="C1040" i="93"/>
  <c r="C1047" i="93" s="1"/>
  <c r="C91" i="74"/>
  <c r="C1010" i="93"/>
  <c r="C1018" i="93" s="1"/>
  <c r="C62" i="74"/>
  <c r="H1040" i="93"/>
  <c r="H1047" i="93" s="1"/>
  <c r="H91" i="74"/>
  <c r="H1153" i="93"/>
  <c r="I1153" i="93"/>
  <c r="N86" i="75"/>
  <c r="O113" i="75"/>
  <c r="C1009" i="93"/>
  <c r="C61" i="74"/>
  <c r="E19" i="87"/>
  <c r="C65" i="82"/>
  <c r="C65" i="74"/>
  <c r="J979" i="93"/>
  <c r="E16" i="87"/>
  <c r="J35" i="74"/>
  <c r="J45" i="82"/>
  <c r="J31" i="74"/>
  <c r="C979" i="93"/>
  <c r="C35" i="74"/>
  <c r="C45" i="82"/>
  <c r="E9" i="87"/>
  <c r="C31" i="74"/>
  <c r="F979" i="93"/>
  <c r="E12" i="87"/>
  <c r="F35" i="74"/>
  <c r="F45" i="82"/>
  <c r="F31" i="74"/>
  <c r="I1009" i="93"/>
  <c r="I65" i="82"/>
  <c r="E25" i="87"/>
  <c r="I65" i="74"/>
  <c r="I61" i="74"/>
  <c r="B1067" i="93"/>
  <c r="B118" i="74"/>
  <c r="B122" i="74"/>
  <c r="B1009" i="93"/>
  <c r="B61" i="74"/>
  <c r="E18" i="87"/>
  <c r="B65" i="82"/>
  <c r="B65" i="74"/>
  <c r="G1039" i="93"/>
  <c r="G94" i="74"/>
  <c r="G90" i="74"/>
  <c r="J86" i="75"/>
  <c r="F1041" i="93"/>
  <c r="F1048" i="93" s="1"/>
  <c r="F92" i="74"/>
  <c r="G1041" i="93"/>
  <c r="G1048" i="93" s="1"/>
  <c r="G92" i="74"/>
  <c r="J1041" i="93"/>
  <c r="J1048" i="93" s="1"/>
  <c r="J92" i="74"/>
  <c r="C1041" i="93"/>
  <c r="C1048" i="93" s="1"/>
  <c r="C92" i="74"/>
  <c r="F981" i="93"/>
  <c r="F989" i="93" s="1"/>
  <c r="F33" i="74"/>
  <c r="K1011" i="93"/>
  <c r="K1019" i="93" s="1"/>
  <c r="K63" i="74"/>
  <c r="F1069" i="93"/>
  <c r="F1076" i="93" s="1"/>
  <c r="F120" i="74"/>
  <c r="D1011" i="93"/>
  <c r="D1019" i="93" s="1"/>
  <c r="D63" i="74"/>
  <c r="C1069" i="93"/>
  <c r="C1076" i="93" s="1"/>
  <c r="C120" i="74"/>
  <c r="I768" i="93"/>
  <c r="K768" i="93" s="1"/>
  <c r="L768" i="93" s="1"/>
  <c r="L805" i="93" s="1"/>
  <c r="L806" i="93" s="1"/>
  <c r="K11" i="75"/>
  <c r="L11" i="75" s="1"/>
  <c r="L48" i="75" s="1"/>
  <c r="L49" i="75" s="1"/>
  <c r="P184" i="75"/>
  <c r="O184" i="75"/>
  <c r="L111" i="75"/>
  <c r="K86" i="75"/>
  <c r="K106" i="75"/>
  <c r="O100" i="75"/>
  <c r="N105" i="75"/>
  <c r="M80" i="75"/>
  <c r="O80" i="75" s="1"/>
  <c r="L77" i="75"/>
  <c r="K74" i="75"/>
  <c r="O74" i="75" s="1"/>
  <c r="O118" i="75"/>
  <c r="O56" i="75"/>
  <c r="J58" i="75"/>
  <c r="F982" i="93"/>
  <c r="F990" i="93" s="1"/>
  <c r="F34" i="74"/>
  <c r="I982" i="93"/>
  <c r="I990" i="93" s="1"/>
  <c r="I34" i="74"/>
  <c r="C1070" i="93"/>
  <c r="C1077" i="93" s="1"/>
  <c r="C121" i="74"/>
  <c r="K1012" i="93"/>
  <c r="K1020" i="93" s="1"/>
  <c r="K64" i="74"/>
  <c r="F1012" i="93"/>
  <c r="F1020" i="93" s="1"/>
  <c r="F64" i="74"/>
  <c r="G982" i="93"/>
  <c r="G990" i="93" s="1"/>
  <c r="G34" i="74"/>
  <c r="E1042" i="93"/>
  <c r="E1049" i="93" s="1"/>
  <c r="E93" i="74"/>
  <c r="D982" i="93"/>
  <c r="D990" i="93" s="1"/>
  <c r="D34" i="74"/>
  <c r="B1042" i="93"/>
  <c r="B1049" i="93" s="1"/>
  <c r="B93" i="74"/>
  <c r="T1731" i="93"/>
  <c r="P934" i="93"/>
  <c r="M932" i="93" s="1"/>
  <c r="K51" i="93"/>
  <c r="F376" i="73"/>
  <c r="F1470" i="93" s="1"/>
  <c r="H15" i="84"/>
  <c r="F18" i="85" s="1"/>
  <c r="T177" i="72"/>
  <c r="O89" i="75"/>
  <c r="J70" i="75"/>
  <c r="H57" i="73"/>
  <c r="I57" i="73"/>
  <c r="P932" i="93"/>
  <c r="I62" i="84"/>
  <c r="K58" i="84"/>
  <c r="K62" i="84" s="1"/>
  <c r="G58" i="84"/>
  <c r="G62" i="84" s="1"/>
  <c r="F558" i="93"/>
  <c r="B19" i="74"/>
  <c r="F557" i="93"/>
  <c r="C62" i="84"/>
  <c r="E58" i="84"/>
  <c r="E62" i="84" s="1"/>
  <c r="B975" i="93"/>
  <c r="F121" i="78"/>
  <c r="F122" i="78"/>
  <c r="O19" i="86" l="1"/>
  <c r="O23" i="86" s="1"/>
  <c r="O25" i="86" s="1"/>
  <c r="O31" i="86" s="1"/>
  <c r="O70" i="75"/>
  <c r="N817" i="93"/>
  <c r="N819" i="93" s="1"/>
  <c r="F56" i="89"/>
  <c r="D37" i="90" s="1"/>
  <c r="F1137" i="93"/>
  <c r="F43" i="73"/>
  <c r="H43" i="73" s="1"/>
  <c r="H78" i="93"/>
  <c r="O857" i="93"/>
  <c r="N834" i="93"/>
  <c r="K874" i="93"/>
  <c r="K876" i="93" s="1"/>
  <c r="K66" i="73"/>
  <c r="M827" i="93"/>
  <c r="O77" i="75"/>
  <c r="H68" i="93" s="1"/>
  <c r="O832" i="93"/>
  <c r="I64" i="73"/>
  <c r="N861" i="93"/>
  <c r="O835" i="93"/>
  <c r="O833" i="93"/>
  <c r="F1158" i="93"/>
  <c r="H1158" i="93" s="1"/>
  <c r="F64" i="73"/>
  <c r="H64" i="73" s="1"/>
  <c r="C992" i="93"/>
  <c r="J831" i="93"/>
  <c r="E474" i="93"/>
  <c r="G470" i="93" s="1"/>
  <c r="M817" i="93"/>
  <c r="M819" i="93" s="1"/>
  <c r="N874" i="93"/>
  <c r="N876" i="93" s="1"/>
  <c r="K834" i="93"/>
  <c r="K1157" i="93"/>
  <c r="K63" i="73"/>
  <c r="O816" i="93"/>
  <c r="L837" i="93"/>
  <c r="K1136" i="93"/>
  <c r="K42" i="73"/>
  <c r="K65" i="73"/>
  <c r="M65" i="73" s="1"/>
  <c r="K1159" i="93"/>
  <c r="M823" i="93"/>
  <c r="L831" i="93"/>
  <c r="F1160" i="93"/>
  <c r="F66" i="73"/>
  <c r="H67" i="93"/>
  <c r="H56" i="66"/>
  <c r="B970" i="93"/>
  <c r="B14" i="74"/>
  <c r="H122" i="75"/>
  <c r="H66" i="93"/>
  <c r="H55" i="66"/>
  <c r="B1078" i="93"/>
  <c r="B1074" i="93"/>
  <c r="L863" i="93"/>
  <c r="L843" i="93"/>
  <c r="K843" i="93"/>
  <c r="K863" i="93"/>
  <c r="F969" i="93"/>
  <c r="E971" i="93"/>
  <c r="E977" i="93"/>
  <c r="E975" i="93"/>
  <c r="E970" i="93"/>
  <c r="I1144" i="93"/>
  <c r="H1144" i="93"/>
  <c r="I1142" i="93"/>
  <c r="I1147" i="93" s="1"/>
  <c r="H1142" i="93"/>
  <c r="E1074" i="93"/>
  <c r="E1078" i="93"/>
  <c r="O115" i="75"/>
  <c r="J117" i="75"/>
  <c r="F1138" i="93"/>
  <c r="F44" i="73"/>
  <c r="M1151" i="93"/>
  <c r="N1151" i="93"/>
  <c r="N44" i="73"/>
  <c r="M44" i="73"/>
  <c r="P941" i="93"/>
  <c r="O941" i="93"/>
  <c r="L1954" i="93"/>
  <c r="L400" i="72"/>
  <c r="D8" i="88"/>
  <c r="E8" i="88" s="1"/>
  <c r="K60" i="75"/>
  <c r="K62" i="75" s="1"/>
  <c r="H8" i="88" s="1"/>
  <c r="I8" i="88" s="1"/>
  <c r="F1136" i="93"/>
  <c r="F42" i="73"/>
  <c r="K1149" i="93"/>
  <c r="K55" i="73"/>
  <c r="O109" i="75"/>
  <c r="I1139" i="93"/>
  <c r="H1139" i="93"/>
  <c r="E991" i="93"/>
  <c r="E987" i="93"/>
  <c r="F1046" i="93"/>
  <c r="F1050" i="93"/>
  <c r="I1050" i="93"/>
  <c r="I1046" i="93"/>
  <c r="N864" i="93"/>
  <c r="N841" i="93"/>
  <c r="O830" i="93"/>
  <c r="N49" i="73"/>
  <c r="M49" i="73"/>
  <c r="I62" i="73"/>
  <c r="H62" i="73"/>
  <c r="I1159" i="93"/>
  <c r="H1159" i="93"/>
  <c r="J1938" i="93"/>
  <c r="J1939" i="93" s="1"/>
  <c r="M1938" i="93"/>
  <c r="M1939" i="93" s="1"/>
  <c r="H1017" i="93"/>
  <c r="H1021" i="93"/>
  <c r="I41" i="73"/>
  <c r="H41" i="73"/>
  <c r="K864" i="93"/>
  <c r="K841" i="93"/>
  <c r="O813" i="93"/>
  <c r="J815" i="93"/>
  <c r="M837" i="93"/>
  <c r="K837" i="93"/>
  <c r="O850" i="93"/>
  <c r="O846" i="93"/>
  <c r="O870" i="93"/>
  <c r="K1139" i="93"/>
  <c r="K45" i="73"/>
  <c r="D984" i="93"/>
  <c r="D53" i="82"/>
  <c r="E28" i="74"/>
  <c r="B1017" i="93"/>
  <c r="B1021" i="93"/>
  <c r="I1021" i="93"/>
  <c r="I1017" i="93"/>
  <c r="C1021" i="93"/>
  <c r="C1017" i="93"/>
  <c r="K1144" i="93"/>
  <c r="K50" i="73"/>
  <c r="I55" i="73"/>
  <c r="H55" i="73"/>
  <c r="F60" i="73"/>
  <c r="I68" i="84"/>
  <c r="G68" i="84"/>
  <c r="E68" i="84"/>
  <c r="K68" i="84"/>
  <c r="J843" i="93"/>
  <c r="J863" i="93"/>
  <c r="O844" i="93"/>
  <c r="L876" i="93"/>
  <c r="O818" i="93"/>
  <c r="D972" i="93"/>
  <c r="D992" i="93" s="1"/>
  <c r="K1142" i="93"/>
  <c r="K48" i="73"/>
  <c r="O107" i="75"/>
  <c r="H1050" i="93"/>
  <c r="H1046" i="93"/>
  <c r="I52" i="73"/>
  <c r="H52" i="73"/>
  <c r="N1138" i="93"/>
  <c r="M1138" i="93"/>
  <c r="K868" i="93"/>
  <c r="J865" i="93"/>
  <c r="O865" i="93" s="1"/>
  <c r="O848" i="93"/>
  <c r="P942" i="93"/>
  <c r="O942" i="93"/>
  <c r="O825" i="93"/>
  <c r="J827" i="93"/>
  <c r="L864" i="93"/>
  <c r="L841" i="93"/>
  <c r="F997" i="93"/>
  <c r="G41" i="74"/>
  <c r="C986" i="93"/>
  <c r="O86" i="75"/>
  <c r="H987" i="93"/>
  <c r="H991" i="93"/>
  <c r="G1021" i="93"/>
  <c r="G1017" i="93"/>
  <c r="E1050" i="93"/>
  <c r="E1046" i="93"/>
  <c r="D1050" i="93"/>
  <c r="D1046" i="93"/>
  <c r="I75" i="93"/>
  <c r="I64" i="66"/>
  <c r="I62" i="66" s="1"/>
  <c r="K1156" i="93"/>
  <c r="K62" i="73"/>
  <c r="O111" i="75"/>
  <c r="J861" i="93"/>
  <c r="O852" i="93"/>
  <c r="P943" i="93"/>
  <c r="O943" i="93"/>
  <c r="N827" i="93"/>
  <c r="M834" i="93"/>
  <c r="L867" i="93"/>
  <c r="M863" i="93"/>
  <c r="M843" i="93"/>
  <c r="N1143" i="93"/>
  <c r="M1143" i="93"/>
  <c r="N59" i="73"/>
  <c r="M59" i="73"/>
  <c r="M384" i="72"/>
  <c r="J384" i="72"/>
  <c r="P414" i="93"/>
  <c r="P413" i="93"/>
  <c r="P415" i="93" s="1"/>
  <c r="K987" i="93"/>
  <c r="K991" i="93"/>
  <c r="M66" i="73"/>
  <c r="N66" i="73"/>
  <c r="I1135" i="93"/>
  <c r="I1140" i="93" s="1"/>
  <c r="F1140" i="93"/>
  <c r="H1135" i="93"/>
  <c r="O875" i="93"/>
  <c r="M868" i="93"/>
  <c r="L862" i="93"/>
  <c r="P76" i="93"/>
  <c r="P65" i="66"/>
  <c r="K1158" i="93"/>
  <c r="K64" i="73"/>
  <c r="G1050" i="93"/>
  <c r="G1046" i="93"/>
  <c r="J991" i="93"/>
  <c r="J987" i="93"/>
  <c r="D7" i="88"/>
  <c r="O58" i="75"/>
  <c r="J60" i="75"/>
  <c r="F1143" i="93"/>
  <c r="F49" i="73"/>
  <c r="F991" i="93"/>
  <c r="F987" i="93"/>
  <c r="P74" i="93"/>
  <c r="P63" i="66"/>
  <c r="H58" i="73"/>
  <c r="I58" i="73"/>
  <c r="F1154" i="93"/>
  <c r="H1149" i="93"/>
  <c r="I1149" i="93"/>
  <c r="I1154" i="93" s="1"/>
  <c r="L819" i="93"/>
  <c r="O851" i="93"/>
  <c r="H56" i="73"/>
  <c r="I56" i="73"/>
  <c r="O106" i="75"/>
  <c r="C1050" i="93"/>
  <c r="C1046" i="93"/>
  <c r="J1046" i="93"/>
  <c r="J1050" i="93"/>
  <c r="D1074" i="93"/>
  <c r="D1078" i="93"/>
  <c r="B991" i="93"/>
  <c r="B987" i="93"/>
  <c r="I1146" i="93"/>
  <c r="H1146" i="93"/>
  <c r="F1157" i="93"/>
  <c r="F1161" i="93" s="1"/>
  <c r="F63" i="73"/>
  <c r="E20" i="74"/>
  <c r="F13" i="74"/>
  <c r="O855" i="93"/>
  <c r="O826" i="93"/>
  <c r="J837" i="93"/>
  <c r="O873" i="93"/>
  <c r="K1146" i="93"/>
  <c r="K52" i="73"/>
  <c r="C1074" i="93"/>
  <c r="C1078" i="93"/>
  <c r="N51" i="73"/>
  <c r="M51" i="73"/>
  <c r="O854" i="93"/>
  <c r="K815" i="93"/>
  <c r="K817" i="93" s="1"/>
  <c r="K819" i="93" s="1"/>
  <c r="N837" i="93"/>
  <c r="M874" i="93"/>
  <c r="M876" i="93" s="1"/>
  <c r="H1156" i="93"/>
  <c r="I1156" i="93"/>
  <c r="I1161" i="93" s="1"/>
  <c r="K1135" i="93"/>
  <c r="K41" i="73"/>
  <c r="O105" i="75"/>
  <c r="M1153" i="93"/>
  <c r="N1153" i="93"/>
  <c r="D18" i="84"/>
  <c r="K40" i="84"/>
  <c r="K1050" i="93"/>
  <c r="K1046" i="93"/>
  <c r="F1078" i="93"/>
  <c r="F1074" i="93"/>
  <c r="B1046" i="93"/>
  <c r="B1050" i="93"/>
  <c r="D1017" i="93"/>
  <c r="D1021" i="93"/>
  <c r="N1160" i="93"/>
  <c r="M1160" i="93"/>
  <c r="I423" i="93"/>
  <c r="J862" i="93"/>
  <c r="O853" i="93"/>
  <c r="K831" i="93"/>
  <c r="O814" i="93"/>
  <c r="J864" i="93"/>
  <c r="O845" i="93"/>
  <c r="J841" i="93"/>
  <c r="O821" i="93"/>
  <c r="J823" i="93"/>
  <c r="O823" i="93" s="1"/>
  <c r="H75" i="93"/>
  <c r="H73" i="93" s="1"/>
  <c r="H77" i="93" s="1"/>
  <c r="H79" i="93" s="1"/>
  <c r="H64" i="66"/>
  <c r="H62" i="66" s="1"/>
  <c r="H66" i="66" s="1"/>
  <c r="H68" i="66" s="1"/>
  <c r="C987" i="93"/>
  <c r="C991" i="93"/>
  <c r="H1152" i="93"/>
  <c r="I1152" i="93"/>
  <c r="O33" i="86"/>
  <c r="H63" i="86" s="1"/>
  <c r="I50" i="73"/>
  <c r="H50" i="73"/>
  <c r="O84" i="75"/>
  <c r="H1150" i="93"/>
  <c r="I1150" i="93"/>
  <c r="I48" i="73"/>
  <c r="H48" i="73"/>
  <c r="I991" i="93"/>
  <c r="I987" i="93"/>
  <c r="E1017" i="93"/>
  <c r="E1021" i="93"/>
  <c r="G75" i="84"/>
  <c r="G77" i="84" s="1"/>
  <c r="C77" i="84"/>
  <c r="E75" i="84"/>
  <c r="E77" i="84" s="1"/>
  <c r="K75" i="84"/>
  <c r="K77" i="84" s="1"/>
  <c r="I75" i="84"/>
  <c r="I77" i="84" s="1"/>
  <c r="G987" i="93"/>
  <c r="G991" i="93"/>
  <c r="R13" i="75"/>
  <c r="R770" i="93" s="1"/>
  <c r="R10" i="75"/>
  <c r="R767" i="93" s="1"/>
  <c r="R14" i="75"/>
  <c r="R771" i="93" s="1"/>
  <c r="R12" i="75"/>
  <c r="R769" i="93" s="1"/>
  <c r="R11" i="75"/>
  <c r="R768" i="93" s="1"/>
  <c r="R15" i="75"/>
  <c r="R772" i="93" s="1"/>
  <c r="N57" i="73"/>
  <c r="M57" i="73"/>
  <c r="O836" i="93"/>
  <c r="K862" i="93"/>
  <c r="M867" i="93"/>
  <c r="J18" i="84"/>
  <c r="I45" i="73"/>
  <c r="H45" i="73"/>
  <c r="J1017" i="93"/>
  <c r="J1021" i="93"/>
  <c r="N1145" i="93"/>
  <c r="M1145" i="93"/>
  <c r="K1137" i="93"/>
  <c r="K43" i="73"/>
  <c r="N862" i="93"/>
  <c r="N843" i="93"/>
  <c r="N863" i="93"/>
  <c r="O871" i="93"/>
  <c r="O858" i="93"/>
  <c r="J866" i="93"/>
  <c r="O866" i="93" s="1"/>
  <c r="O849" i="93"/>
  <c r="M861" i="93"/>
  <c r="H65" i="73"/>
  <c r="I65" i="73"/>
  <c r="P51" i="68"/>
  <c r="P50" i="68"/>
  <c r="I60" i="68"/>
  <c r="F1017" i="93"/>
  <c r="F1021" i="93"/>
  <c r="D987" i="93"/>
  <c r="D991" i="93"/>
  <c r="K1021" i="93"/>
  <c r="K1017" i="93"/>
  <c r="F1145" i="93"/>
  <c r="F51" i="73"/>
  <c r="F53" i="73" s="1"/>
  <c r="O104" i="75"/>
  <c r="J868" i="93"/>
  <c r="O868" i="93" s="1"/>
  <c r="O847" i="93"/>
  <c r="L834" i="93"/>
  <c r="O829" i="93"/>
  <c r="O859" i="93"/>
  <c r="K827" i="93"/>
  <c r="J834" i="93"/>
  <c r="O834" i="93" s="1"/>
  <c r="M864" i="93"/>
  <c r="M841" i="93"/>
  <c r="J867" i="93"/>
  <c r="O867" i="93" s="1"/>
  <c r="J872" i="93"/>
  <c r="I73" i="93"/>
  <c r="D19" i="74"/>
  <c r="F19" i="74"/>
  <c r="E19" i="74"/>
  <c r="C19" i="74"/>
  <c r="H1137" i="93" l="1"/>
  <c r="I1137" i="93"/>
  <c r="O831" i="93"/>
  <c r="F46" i="73"/>
  <c r="I43" i="73"/>
  <c r="H57" i="66"/>
  <c r="H7" i="84" s="1"/>
  <c r="I1158" i="93"/>
  <c r="O837" i="93"/>
  <c r="N1136" i="93"/>
  <c r="M1136" i="93"/>
  <c r="M1157" i="93"/>
  <c r="N1157" i="93"/>
  <c r="N65" i="73"/>
  <c r="I66" i="73"/>
  <c r="H66" i="73"/>
  <c r="N1159" i="93"/>
  <c r="M1159" i="93"/>
  <c r="I1160" i="93"/>
  <c r="H1160" i="93"/>
  <c r="F1147" i="93"/>
  <c r="N42" i="73"/>
  <c r="M42" i="73"/>
  <c r="N63" i="73"/>
  <c r="M63" i="73"/>
  <c r="P52" i="68"/>
  <c r="O872" i="93"/>
  <c r="J874" i="93"/>
  <c r="O841" i="93"/>
  <c r="G13" i="74"/>
  <c r="G14" i="74" s="1"/>
  <c r="F20" i="74"/>
  <c r="L1952" i="93"/>
  <c r="L1953" i="93" s="1"/>
  <c r="M1952" i="93" s="1"/>
  <c r="E13" i="84"/>
  <c r="L398" i="72"/>
  <c r="L399" i="72" s="1"/>
  <c r="M64" i="73"/>
  <c r="N64" i="73"/>
  <c r="D978" i="93"/>
  <c r="D986" i="93" s="1"/>
  <c r="O843" i="93"/>
  <c r="N45" i="73"/>
  <c r="M45" i="73"/>
  <c r="N55" i="73"/>
  <c r="N60" i="73" s="1"/>
  <c r="K60" i="73"/>
  <c r="M55" i="73"/>
  <c r="O117" i="75"/>
  <c r="J119" i="75"/>
  <c r="O119" i="75" s="1"/>
  <c r="H879" i="93"/>
  <c r="O879" i="93" s="1"/>
  <c r="O122" i="75"/>
  <c r="L1968" i="93"/>
  <c r="L414" i="72"/>
  <c r="P187" i="75"/>
  <c r="P188" i="75" s="1"/>
  <c r="P179" i="75" s="1"/>
  <c r="P67" i="93"/>
  <c r="O188" i="75"/>
  <c r="O187" i="75"/>
  <c r="P56" i="66"/>
  <c r="K46" i="73"/>
  <c r="M41" i="73"/>
  <c r="N41" i="73"/>
  <c r="I49" i="73"/>
  <c r="H49" i="73"/>
  <c r="D12" i="88"/>
  <c r="E7" i="88"/>
  <c r="E13" i="88" s="1"/>
  <c r="M1158" i="93"/>
  <c r="N1158" i="93"/>
  <c r="F1163" i="93"/>
  <c r="K67" i="73"/>
  <c r="N62" i="73"/>
  <c r="M62" i="73"/>
  <c r="E536" i="93"/>
  <c r="J536" i="93" s="1"/>
  <c r="E100" i="78"/>
  <c r="J100" i="78" s="1"/>
  <c r="N48" i="73"/>
  <c r="K53" i="73"/>
  <c r="M48" i="73"/>
  <c r="O863" i="93"/>
  <c r="I60" i="73"/>
  <c r="E984" i="93"/>
  <c r="E53" i="82"/>
  <c r="F28" i="74"/>
  <c r="N1139" i="93"/>
  <c r="M1139" i="93"/>
  <c r="O815" i="93"/>
  <c r="J817" i="93"/>
  <c r="K1154" i="93"/>
  <c r="M1149" i="93"/>
  <c r="N1149" i="93"/>
  <c r="N1154" i="93" s="1"/>
  <c r="P73" i="93"/>
  <c r="P75" i="93" s="1"/>
  <c r="P77" i="93" s="1"/>
  <c r="P82" i="93" s="1"/>
  <c r="P62" i="66"/>
  <c r="P64" i="66" s="1"/>
  <c r="P66" i="66" s="1"/>
  <c r="P71" i="66" s="1"/>
  <c r="E972" i="93"/>
  <c r="E992" i="93" s="1"/>
  <c r="F971" i="93"/>
  <c r="F977" i="93"/>
  <c r="F975" i="93"/>
  <c r="F970" i="93"/>
  <c r="G969" i="93"/>
  <c r="C14" i="74"/>
  <c r="F14" i="74"/>
  <c r="C52" i="84"/>
  <c r="E14" i="74"/>
  <c r="B15" i="74"/>
  <c r="D14" i="74"/>
  <c r="I1145" i="93"/>
  <c r="H1145" i="93"/>
  <c r="N43" i="73"/>
  <c r="M43" i="73"/>
  <c r="C80" i="84"/>
  <c r="C81" i="84"/>
  <c r="O864" i="93"/>
  <c r="O862" i="93"/>
  <c r="N1135" i="93"/>
  <c r="N1140" i="93" s="1"/>
  <c r="M1135" i="93"/>
  <c r="K1140" i="93"/>
  <c r="N52" i="73"/>
  <c r="M52" i="73"/>
  <c r="I63" i="73"/>
  <c r="I67" i="73" s="1"/>
  <c r="H63" i="73"/>
  <c r="I1143" i="93"/>
  <c r="H1143" i="93"/>
  <c r="K1161" i="93"/>
  <c r="M1156" i="93"/>
  <c r="N1156" i="93"/>
  <c r="N1161" i="93" s="1"/>
  <c r="K1147" i="93"/>
  <c r="N1142" i="93"/>
  <c r="N1147" i="93" s="1"/>
  <c r="M1142" i="93"/>
  <c r="N50" i="73"/>
  <c r="M50" i="73"/>
  <c r="I42" i="73"/>
  <c r="H42" i="73"/>
  <c r="M398" i="72"/>
  <c r="O397" i="72" s="1"/>
  <c r="I44" i="73"/>
  <c r="I46" i="73" s="1"/>
  <c r="H44" i="73"/>
  <c r="B971" i="93"/>
  <c r="B972" i="93" s="1"/>
  <c r="I51" i="73"/>
  <c r="I53" i="73" s="1"/>
  <c r="H51" i="73"/>
  <c r="N1137" i="93"/>
  <c r="M1137" i="93"/>
  <c r="N1146" i="93"/>
  <c r="M1146" i="93"/>
  <c r="H1157" i="93"/>
  <c r="I1157" i="93"/>
  <c r="O60" i="75"/>
  <c r="M590" i="93" s="1"/>
  <c r="M591" i="93" s="1"/>
  <c r="M593" i="93" s="1"/>
  <c r="J62" i="75"/>
  <c r="O861" i="93"/>
  <c r="G997" i="93"/>
  <c r="H41" i="74"/>
  <c r="O827" i="93"/>
  <c r="N1144" i="93"/>
  <c r="M1144" i="93"/>
  <c r="F67" i="73"/>
  <c r="F69" i="73" s="1"/>
  <c r="I1136" i="93"/>
  <c r="H1136" i="93"/>
  <c r="I1138" i="93"/>
  <c r="H1138" i="93"/>
  <c r="E47" i="92" l="1"/>
  <c r="E26" i="89"/>
  <c r="N67" i="73"/>
  <c r="K1163" i="93"/>
  <c r="E978" i="93"/>
  <c r="E986" i="93" s="1"/>
  <c r="I52" i="84"/>
  <c r="G52" i="84"/>
  <c r="E52" i="84"/>
  <c r="K52" i="84"/>
  <c r="N53" i="73"/>
  <c r="P936" i="93"/>
  <c r="B977" i="93"/>
  <c r="B978" i="93" s="1"/>
  <c r="B986" i="93" s="1"/>
  <c r="C66" i="84"/>
  <c r="P180" i="75"/>
  <c r="M180" i="75"/>
  <c r="E172" i="90"/>
  <c r="E173" i="90" s="1"/>
  <c r="B21" i="74"/>
  <c r="P190" i="75"/>
  <c r="J154" i="78"/>
  <c r="J155" i="78" s="1"/>
  <c r="J590" i="93"/>
  <c r="J591" i="93" s="1"/>
  <c r="J593" i="93" s="1"/>
  <c r="O874" i="93"/>
  <c r="J876" i="93"/>
  <c r="O876" i="93" s="1"/>
  <c r="E15" i="74"/>
  <c r="E16" i="74" s="1"/>
  <c r="D15" i="74"/>
  <c r="D16" i="74" s="1"/>
  <c r="C53" i="84"/>
  <c r="F15" i="74"/>
  <c r="C15" i="74"/>
  <c r="G15" i="74"/>
  <c r="B16" i="74"/>
  <c r="C54" i="84" s="1"/>
  <c r="C56" i="84" s="1"/>
  <c r="C64" i="84" s="1"/>
  <c r="C70" i="84" s="1"/>
  <c r="O817" i="93"/>
  <c r="J819" i="93"/>
  <c r="O819" i="93" s="1"/>
  <c r="F984" i="93"/>
  <c r="G28" i="74"/>
  <c r="F53" i="82"/>
  <c r="N46" i="73"/>
  <c r="M69" i="73" s="1"/>
  <c r="M1163" i="93" s="1"/>
  <c r="J480" i="93"/>
  <c r="J44" i="78"/>
  <c r="M154" i="78"/>
  <c r="M155" i="78" s="1"/>
  <c r="M157" i="78" s="1"/>
  <c r="H16" i="85"/>
  <c r="K18" i="88"/>
  <c r="H7" i="88"/>
  <c r="O62" i="75"/>
  <c r="B992" i="93"/>
  <c r="G16" i="74"/>
  <c r="G977" i="93"/>
  <c r="G975" i="93"/>
  <c r="G970" i="93"/>
  <c r="H969" i="93"/>
  <c r="G971" i="93"/>
  <c r="K13" i="84"/>
  <c r="G570" i="93"/>
  <c r="G134" i="78"/>
  <c r="P479" i="93"/>
  <c r="P43" i="78"/>
  <c r="F44" i="78"/>
  <c r="F480" i="93"/>
  <c r="P154" i="78"/>
  <c r="P155" i="78" s="1"/>
  <c r="P157" i="78" s="1"/>
  <c r="G20" i="74"/>
  <c r="H13" i="74"/>
  <c r="H15" i="74" s="1"/>
  <c r="G19" i="74"/>
  <c r="H69" i="73"/>
  <c r="H997" i="93"/>
  <c r="I41" i="74"/>
  <c r="J1599" i="93"/>
  <c r="K52" i="72"/>
  <c r="L49" i="72"/>
  <c r="L48" i="72"/>
  <c r="J45" i="72"/>
  <c r="P168" i="93"/>
  <c r="P167" i="93"/>
  <c r="O168" i="93"/>
  <c r="K49" i="72"/>
  <c r="K48" i="72"/>
  <c r="L52" i="72"/>
  <c r="P156" i="66"/>
  <c r="P157" i="66"/>
  <c r="O157" i="66"/>
  <c r="F43" i="78"/>
  <c r="F479" i="93"/>
  <c r="O1951" i="93"/>
  <c r="F16" i="74"/>
  <c r="F972" i="93"/>
  <c r="F992" i="93" s="1"/>
  <c r="K69" i="73"/>
  <c r="P590" i="93"/>
  <c r="P591" i="93" s="1"/>
  <c r="P593" i="93" s="1"/>
  <c r="P944" i="93"/>
  <c r="P945" i="93" s="1"/>
  <c r="O944" i="93"/>
  <c r="O945" i="93"/>
  <c r="F978" i="93" l="1"/>
  <c r="F986" i="93" s="1"/>
  <c r="C76" i="84"/>
  <c r="C73" i="84" s="1"/>
  <c r="C72" i="84"/>
  <c r="J594" i="93"/>
  <c r="L1602" i="93"/>
  <c r="P48" i="72"/>
  <c r="I997" i="93"/>
  <c r="J41" i="74"/>
  <c r="H970" i="93"/>
  <c r="I969" i="93"/>
  <c r="H971" i="93"/>
  <c r="H977" i="93"/>
  <c r="H975" i="93"/>
  <c r="L1951" i="93"/>
  <c r="M1962" i="93"/>
  <c r="O1980" i="93"/>
  <c r="O1981" i="93" s="1"/>
  <c r="O1975" i="93"/>
  <c r="O1976" i="93" s="1"/>
  <c r="J1836" i="93"/>
  <c r="L1836" i="93" s="1"/>
  <c r="F560" i="93"/>
  <c r="M301" i="73"/>
  <c r="E483" i="93"/>
  <c r="N94" i="93"/>
  <c r="O421" i="72"/>
  <c r="O422" i="72" s="1"/>
  <c r="M408" i="72"/>
  <c r="N97" i="93"/>
  <c r="C13" i="84"/>
  <c r="L397" i="72"/>
  <c r="O155" i="72"/>
  <c r="J282" i="72"/>
  <c r="L282" i="72" s="1"/>
  <c r="D570" i="93"/>
  <c r="O426" i="72"/>
  <c r="O427" i="72" s="1"/>
  <c r="P155" i="72"/>
  <c r="J181" i="75"/>
  <c r="J180" i="75"/>
  <c r="M305" i="73"/>
  <c r="J182" i="75"/>
  <c r="N83" i="66"/>
  <c r="E78" i="78"/>
  <c r="D134" i="78"/>
  <c r="N86" i="66"/>
  <c r="F124" i="78"/>
  <c r="E47" i="78"/>
  <c r="E514" i="93"/>
  <c r="J43" i="78"/>
  <c r="P177" i="75"/>
  <c r="M175" i="75" s="1"/>
  <c r="N171" i="75"/>
  <c r="O176" i="75"/>
  <c r="J479" i="93"/>
  <c r="N172" i="75"/>
  <c r="J938" i="93"/>
  <c r="J939" i="93"/>
  <c r="J937" i="93"/>
  <c r="O933" i="93"/>
  <c r="N929" i="93"/>
  <c r="N928" i="93"/>
  <c r="B36" i="74"/>
  <c r="G15" i="82"/>
  <c r="G19" i="82" s="1"/>
  <c r="J157" i="78"/>
  <c r="J158" i="78" s="1"/>
  <c r="P937" i="93"/>
  <c r="M937" i="93"/>
  <c r="P947" i="93"/>
  <c r="K1603" i="93"/>
  <c r="O49" i="72"/>
  <c r="O1603" i="93" s="1"/>
  <c r="K5" i="74"/>
  <c r="L1606" i="93"/>
  <c r="P52" i="72"/>
  <c r="L1603" i="93"/>
  <c r="P49" i="72"/>
  <c r="P1603" i="93" s="1"/>
  <c r="H20" i="74"/>
  <c r="I13" i="74"/>
  <c r="I21" i="74" s="1"/>
  <c r="C33" i="86" s="1"/>
  <c r="H19" i="74"/>
  <c r="H14" i="74"/>
  <c r="G972" i="93"/>
  <c r="G978" i="93" s="1"/>
  <c r="J4" i="91"/>
  <c r="I7" i="88"/>
  <c r="I13" i="88" s="1"/>
  <c r="H12" i="88"/>
  <c r="D34" i="90" s="1"/>
  <c r="B22" i="74"/>
  <c r="K1602" i="93"/>
  <c r="O48" i="72"/>
  <c r="K1606" i="93"/>
  <c r="O52" i="72"/>
  <c r="H1163" i="93"/>
  <c r="P63" i="73"/>
  <c r="H20" i="84"/>
  <c r="C20" i="84"/>
  <c r="F54" i="89"/>
  <c r="D33" i="90" s="1"/>
  <c r="G984" i="93"/>
  <c r="H28" i="74"/>
  <c r="G53" i="82"/>
  <c r="C16" i="74"/>
  <c r="G53" i="84"/>
  <c r="G54" i="84" s="1"/>
  <c r="E53" i="84"/>
  <c r="E54" i="84" s="1"/>
  <c r="K53" i="84"/>
  <c r="K54" i="84" s="1"/>
  <c r="I53" i="84"/>
  <c r="I54" i="84" s="1"/>
  <c r="C13" i="86"/>
  <c r="E21" i="74"/>
  <c r="F13" i="86" s="1"/>
  <c r="H21" i="74"/>
  <c r="I13" i="86" s="1"/>
  <c r="D21" i="74"/>
  <c r="E13" i="86" s="1"/>
  <c r="G21" i="74"/>
  <c r="H13" i="86" s="1"/>
  <c r="F21" i="74"/>
  <c r="G13" i="86" s="1"/>
  <c r="C21" i="74"/>
  <c r="D13" i="86" s="1"/>
  <c r="K66" i="84"/>
  <c r="I66" i="84"/>
  <c r="G66" i="84"/>
  <c r="E66" i="84"/>
  <c r="K7" i="74"/>
  <c r="G22" i="74" l="1"/>
  <c r="G30" i="74" s="1"/>
  <c r="H9" i="86" s="1"/>
  <c r="H17" i="86" s="1"/>
  <c r="H18" i="86" s="1"/>
  <c r="H20" i="86" s="1"/>
  <c r="H24" i="86" s="1"/>
  <c r="K11" i="86" s="1"/>
  <c r="G986" i="93"/>
  <c r="F36" i="74"/>
  <c r="C36" i="74"/>
  <c r="I56" i="84"/>
  <c r="I64" i="84" s="1"/>
  <c r="I70" i="84" s="1"/>
  <c r="P1157" i="93"/>
  <c r="K13" i="88"/>
  <c r="J598" i="93"/>
  <c r="J162" i="78"/>
  <c r="J163" i="78" s="1"/>
  <c r="E56" i="84"/>
  <c r="E64" i="84" s="1"/>
  <c r="E70" i="84" s="1"/>
  <c r="B44" i="82"/>
  <c r="B30" i="74"/>
  <c r="G992" i="93"/>
  <c r="G56" i="84"/>
  <c r="G64" i="84" s="1"/>
  <c r="G70" i="84" s="1"/>
  <c r="E36" i="74"/>
  <c r="F52" i="89"/>
  <c r="D16" i="83"/>
  <c r="K19" i="88"/>
  <c r="F16" i="85"/>
  <c r="C19" i="84"/>
  <c r="H19" i="84"/>
  <c r="J969" i="93"/>
  <c r="I971" i="93"/>
  <c r="I977" i="93"/>
  <c r="I975" i="93"/>
  <c r="I970" i="93"/>
  <c r="O1602" i="93"/>
  <c r="O47" i="72"/>
  <c r="C22" i="74"/>
  <c r="M1399" i="93"/>
  <c r="L1399" i="93" s="1"/>
  <c r="L305" i="73"/>
  <c r="J997" i="93"/>
  <c r="K41" i="74"/>
  <c r="H984" i="93"/>
  <c r="H53" i="82"/>
  <c r="I28" i="74"/>
  <c r="O1606" i="93"/>
  <c r="O51" i="72"/>
  <c r="O1605" i="93" s="1"/>
  <c r="D36" i="74"/>
  <c r="F22" i="74"/>
  <c r="J13" i="74"/>
  <c r="I20" i="74"/>
  <c r="I19" i="74"/>
  <c r="I14" i="74"/>
  <c r="I15" i="74"/>
  <c r="P1606" i="93"/>
  <c r="P51" i="72"/>
  <c r="P1605" i="93" s="1"/>
  <c r="E22" i="74"/>
  <c r="O282" i="72"/>
  <c r="P282" i="72"/>
  <c r="H972" i="93"/>
  <c r="H978" i="93" s="1"/>
  <c r="P1602" i="93"/>
  <c r="P47" i="72"/>
  <c r="D35" i="90"/>
  <c r="I64" i="92" s="1"/>
  <c r="D55" i="92"/>
  <c r="I76" i="84"/>
  <c r="I73" i="84" s="1"/>
  <c r="I72" i="84"/>
  <c r="H16" i="74"/>
  <c r="H36" i="74" s="1"/>
  <c r="K56" i="84"/>
  <c r="K64" i="84" s="1"/>
  <c r="K70" i="84" s="1"/>
  <c r="P1709" i="93"/>
  <c r="P153" i="72"/>
  <c r="P1707" i="93" s="1"/>
  <c r="O1709" i="93"/>
  <c r="O153" i="72"/>
  <c r="O405" i="72"/>
  <c r="P405" i="72"/>
  <c r="M1395" i="93"/>
  <c r="L1395" i="93" s="1"/>
  <c r="L301" i="73"/>
  <c r="G36" i="74"/>
  <c r="D22" i="74"/>
  <c r="G44" i="82" l="1"/>
  <c r="H986" i="93"/>
  <c r="P1959" i="93"/>
  <c r="P396" i="72"/>
  <c r="P1950" i="93" s="1"/>
  <c r="G51" i="82"/>
  <c r="G46" i="82"/>
  <c r="P1601" i="93"/>
  <c r="P43" i="72"/>
  <c r="C9" i="86"/>
  <c r="C17" i="86" s="1"/>
  <c r="C18" i="86" s="1"/>
  <c r="C20" i="86" s="1"/>
  <c r="C24" i="86" s="1"/>
  <c r="K6" i="86" s="1"/>
  <c r="G66" i="86" s="1"/>
  <c r="N85" i="85" s="1"/>
  <c r="S19" i="74"/>
  <c r="J599" i="93"/>
  <c r="G162" i="78"/>
  <c r="J165" i="78"/>
  <c r="J167" i="78" s="1"/>
  <c r="O1959" i="93"/>
  <c r="O396" i="72"/>
  <c r="K76" i="84"/>
  <c r="K73" i="84" s="1"/>
  <c r="K72" i="84"/>
  <c r="P1836" i="93"/>
  <c r="P270" i="72"/>
  <c r="P1824" i="93" s="1"/>
  <c r="I978" i="93"/>
  <c r="I972" i="93"/>
  <c r="I992" i="93"/>
  <c r="J971" i="93"/>
  <c r="J977" i="93"/>
  <c r="J975" i="93"/>
  <c r="J970" i="93"/>
  <c r="K969" i="93"/>
  <c r="I39" i="88"/>
  <c r="K38" i="88" s="1"/>
  <c r="K21" i="88"/>
  <c r="K30" i="88" s="1"/>
  <c r="K34" i="88" s="1"/>
  <c r="G76" i="84"/>
  <c r="G73" i="84" s="1"/>
  <c r="G72" i="84"/>
  <c r="B51" i="82"/>
  <c r="B46" i="82"/>
  <c r="D30" i="74"/>
  <c r="E9" i="86" s="1"/>
  <c r="E17" i="86" s="1"/>
  <c r="E18" i="86" s="1"/>
  <c r="E20" i="86" s="1"/>
  <c r="E24" i="86" s="1"/>
  <c r="K8" i="86" s="1"/>
  <c r="D44" i="82"/>
  <c r="O1707" i="93"/>
  <c r="E32" i="72"/>
  <c r="E1586" i="93" s="1"/>
  <c r="H22" i="74"/>
  <c r="H992" i="93"/>
  <c r="O1836" i="93"/>
  <c r="O270" i="72"/>
  <c r="O1824" i="93" s="1"/>
  <c r="J20" i="74"/>
  <c r="K13" i="74"/>
  <c r="J19" i="74"/>
  <c r="J14" i="74"/>
  <c r="J15" i="74"/>
  <c r="J21" i="74"/>
  <c r="D33" i="86" s="1"/>
  <c r="K997" i="93"/>
  <c r="B71" i="74"/>
  <c r="C30" i="74"/>
  <c r="D9" i="86" s="1"/>
  <c r="D17" i="86" s="1"/>
  <c r="D18" i="86" s="1"/>
  <c r="D20" i="86" s="1"/>
  <c r="D24" i="86" s="1"/>
  <c r="K7" i="86" s="1"/>
  <c r="C44" i="82"/>
  <c r="E76" i="84"/>
  <c r="E73" i="84" s="1"/>
  <c r="E72" i="84"/>
  <c r="E44" i="82"/>
  <c r="E30" i="74"/>
  <c r="F9" i="86" s="1"/>
  <c r="F17" i="86" s="1"/>
  <c r="F18" i="86" s="1"/>
  <c r="F20" i="86" s="1"/>
  <c r="F24" i="86" s="1"/>
  <c r="K9" i="86" s="1"/>
  <c r="I16" i="74"/>
  <c r="I22" i="74" s="1"/>
  <c r="F44" i="82"/>
  <c r="F30" i="74"/>
  <c r="G9" i="86" s="1"/>
  <c r="G17" i="86" s="1"/>
  <c r="G18" i="86" s="1"/>
  <c r="G20" i="86" s="1"/>
  <c r="G24" i="86" s="1"/>
  <c r="K10" i="86" s="1"/>
  <c r="I984" i="93"/>
  <c r="I53" i="82"/>
  <c r="J28" i="74"/>
  <c r="O1601" i="93"/>
  <c r="O43" i="72"/>
  <c r="I36" i="74" l="1"/>
  <c r="I986" i="93"/>
  <c r="S21" i="74"/>
  <c r="H44" i="82"/>
  <c r="H30" i="74"/>
  <c r="I9" i="86" s="1"/>
  <c r="I17" i="86" s="1"/>
  <c r="I18" i="86" s="1"/>
  <c r="I20" i="86" s="1"/>
  <c r="I24" i="86" s="1"/>
  <c r="K12" i="86" s="1"/>
  <c r="D51" i="82"/>
  <c r="D46" i="82"/>
  <c r="K977" i="93"/>
  <c r="K975" i="93"/>
  <c r="B999" i="93"/>
  <c r="K970" i="93"/>
  <c r="K971" i="93"/>
  <c r="O1950" i="93"/>
  <c r="E40" i="72"/>
  <c r="E1594" i="93" s="1"/>
  <c r="J601" i="93"/>
  <c r="J603" i="93" s="1"/>
  <c r="J605" i="93" s="1"/>
  <c r="J607" i="93" s="1"/>
  <c r="G598" i="93"/>
  <c r="S24" i="74"/>
  <c r="I44" i="82"/>
  <c r="I30" i="74"/>
  <c r="C29" i="86" s="1"/>
  <c r="C37" i="86" s="1"/>
  <c r="C38" i="86" s="1"/>
  <c r="C40" i="86" s="1"/>
  <c r="C44" i="86" s="1"/>
  <c r="K13" i="86" s="1"/>
  <c r="J16" i="74"/>
  <c r="J22" i="74" s="1"/>
  <c r="J972" i="93"/>
  <c r="J992" i="93" s="1"/>
  <c r="S26" i="74"/>
  <c r="S25" i="74"/>
  <c r="S20" i="74"/>
  <c r="P1597" i="93"/>
  <c r="P1995" i="93" s="1"/>
  <c r="P441" i="72"/>
  <c r="C51" i="82"/>
  <c r="C46" i="82"/>
  <c r="B43" i="74"/>
  <c r="K20" i="74"/>
  <c r="K19" i="74"/>
  <c r="K14" i="74"/>
  <c r="K15" i="74"/>
  <c r="K21" i="74"/>
  <c r="E33" i="86" s="1"/>
  <c r="J984" i="93"/>
  <c r="K28" i="74"/>
  <c r="J53" i="82"/>
  <c r="F46" i="82"/>
  <c r="F51" i="82"/>
  <c r="E46" i="82"/>
  <c r="E51" i="82"/>
  <c r="B1027" i="93"/>
  <c r="C71" i="74"/>
  <c r="O1597" i="93"/>
  <c r="R43" i="72"/>
  <c r="O441" i="72"/>
  <c r="J36" i="74"/>
  <c r="B15" i="82"/>
  <c r="J169" i="78"/>
  <c r="J171" i="78" s="1"/>
  <c r="S23" i="74"/>
  <c r="S22" i="74"/>
  <c r="O6" i="72" l="1"/>
  <c r="R1995" i="93"/>
  <c r="J978" i="93"/>
  <c r="J986" i="93" s="1"/>
  <c r="P1560" i="93"/>
  <c r="P1998" i="93"/>
  <c r="I46" i="82"/>
  <c r="I51" i="82"/>
  <c r="B1000" i="93"/>
  <c r="C999" i="93"/>
  <c r="B1001" i="93"/>
  <c r="B1007" i="93"/>
  <c r="B1005" i="93"/>
  <c r="C1027" i="93"/>
  <c r="D71" i="74"/>
  <c r="K16" i="74"/>
  <c r="K22" i="74" s="1"/>
  <c r="J44" i="82"/>
  <c r="J30" i="74"/>
  <c r="M173" i="78"/>
  <c r="J175" i="78"/>
  <c r="R1597" i="93"/>
  <c r="O1995" i="93"/>
  <c r="O1560" i="93" s="1"/>
  <c r="K984" i="93"/>
  <c r="B58" i="74"/>
  <c r="K53" i="82"/>
  <c r="C43" i="74"/>
  <c r="B50" i="74"/>
  <c r="B49" i="74"/>
  <c r="B44" i="74"/>
  <c r="B46" i="74" s="1"/>
  <c r="B45" i="74"/>
  <c r="B51" i="74"/>
  <c r="F33" i="86" s="1"/>
  <c r="H46" i="82"/>
  <c r="H51" i="82"/>
  <c r="P444" i="72"/>
  <c r="P6" i="72"/>
  <c r="M609" i="93"/>
  <c r="J611" i="93"/>
  <c r="E535" i="93" s="1"/>
  <c r="J535" i="93" s="1"/>
  <c r="K972" i="93"/>
  <c r="K978" i="93" s="1"/>
  <c r="K986" i="93" l="1"/>
  <c r="K30" i="74"/>
  <c r="K44" i="82"/>
  <c r="K36" i="74"/>
  <c r="B52" i="74"/>
  <c r="B1014" i="93"/>
  <c r="C58" i="74"/>
  <c r="B73" i="82"/>
  <c r="C21" i="86"/>
  <c r="I20" i="93"/>
  <c r="L412" i="93"/>
  <c r="N412" i="93" s="1"/>
  <c r="L413" i="93"/>
  <c r="N413" i="93" s="1"/>
  <c r="M61" i="85"/>
  <c r="P61" i="85" s="1"/>
  <c r="I9" i="66"/>
  <c r="L50" i="68"/>
  <c r="N50" i="68" s="1"/>
  <c r="L49" i="68"/>
  <c r="E99" i="78"/>
  <c r="J99" i="78" s="1"/>
  <c r="D29" i="86"/>
  <c r="D37" i="86" s="1"/>
  <c r="D38" i="86" s="1"/>
  <c r="D40" i="86" s="1"/>
  <c r="D44" i="86" s="1"/>
  <c r="K14" i="86" s="1"/>
  <c r="S27" i="74"/>
  <c r="S28" i="74"/>
  <c r="D1027" i="93"/>
  <c r="E71" i="74"/>
  <c r="K992" i="93"/>
  <c r="B66" i="74"/>
  <c r="J46" i="82"/>
  <c r="J51" i="82"/>
  <c r="C1000" i="93"/>
  <c r="D999" i="93"/>
  <c r="C1007" i="93"/>
  <c r="C1005" i="93"/>
  <c r="C1001" i="93"/>
  <c r="C50" i="74"/>
  <c r="D43" i="74"/>
  <c r="C49" i="74"/>
  <c r="C44" i="74"/>
  <c r="C45" i="74"/>
  <c r="C51" i="74"/>
  <c r="G33" i="86" s="1"/>
  <c r="B1002" i="93"/>
  <c r="B1008" i="93" s="1"/>
  <c r="B1016" i="93" s="1"/>
  <c r="B1022" i="93" l="1"/>
  <c r="D50" i="74"/>
  <c r="E43" i="74"/>
  <c r="D49" i="74"/>
  <c r="D44" i="74"/>
  <c r="D45" i="74"/>
  <c r="D51" i="74"/>
  <c r="H33" i="86" s="1"/>
  <c r="C22" i="86"/>
  <c r="C42" i="86" s="1"/>
  <c r="D42" i="86" s="1"/>
  <c r="E42" i="86" s="1"/>
  <c r="C41" i="86"/>
  <c r="D41" i="86" s="1"/>
  <c r="E41" i="86" s="1"/>
  <c r="D21" i="86"/>
  <c r="B64" i="82"/>
  <c r="B60" i="74"/>
  <c r="E999" i="93"/>
  <c r="D1007" i="93"/>
  <c r="D1005" i="93"/>
  <c r="D1001" i="93"/>
  <c r="D1000" i="93"/>
  <c r="B14" i="82"/>
  <c r="N49" i="68"/>
  <c r="C46" i="74"/>
  <c r="C66" i="74" s="1"/>
  <c r="C1002" i="93"/>
  <c r="C1008" i="93" s="1"/>
  <c r="C1022" i="93"/>
  <c r="C1014" i="93"/>
  <c r="C73" i="82"/>
  <c r="D58" i="74"/>
  <c r="K51" i="82"/>
  <c r="K46" i="82"/>
  <c r="B25" i="82" s="1"/>
  <c r="E1027" i="93"/>
  <c r="F71" i="74"/>
  <c r="E29" i="86"/>
  <c r="E37" i="86" s="1"/>
  <c r="E38" i="86" s="1"/>
  <c r="E40" i="86" s="1"/>
  <c r="E44" i="86" s="1"/>
  <c r="K15" i="86" s="1"/>
  <c r="C52" i="74" l="1"/>
  <c r="C1016" i="93"/>
  <c r="F1027" i="93"/>
  <c r="G71" i="74"/>
  <c r="G1027" i="93" s="1"/>
  <c r="F29" i="86"/>
  <c r="F37" i="86" s="1"/>
  <c r="F38" i="86" s="1"/>
  <c r="F40" i="86" s="1"/>
  <c r="F44" i="86" s="1"/>
  <c r="K16" i="86" s="1"/>
  <c r="S29" i="74"/>
  <c r="D1014" i="93"/>
  <c r="D73" i="82"/>
  <c r="E58" i="74"/>
  <c r="G20" i="82"/>
  <c r="B20" i="82"/>
  <c r="B21" i="82" s="1"/>
  <c r="B66" i="82"/>
  <c r="B71" i="82"/>
  <c r="F43" i="74"/>
  <c r="E50" i="74"/>
  <c r="E49" i="74"/>
  <c r="E44" i="74"/>
  <c r="E45" i="74"/>
  <c r="E51" i="74"/>
  <c r="I33" i="86" s="1"/>
  <c r="C60" i="74"/>
  <c r="C64" i="82"/>
  <c r="D1002" i="93"/>
  <c r="D1008" i="93"/>
  <c r="D1016" i="93" s="1"/>
  <c r="D1022" i="93"/>
  <c r="E1007" i="93"/>
  <c r="E1005" i="93"/>
  <c r="E1001" i="93"/>
  <c r="E1000" i="93"/>
  <c r="F999" i="93"/>
  <c r="E21" i="86"/>
  <c r="D22" i="86"/>
  <c r="J72" i="82"/>
  <c r="E72" i="82"/>
  <c r="I72" i="82"/>
  <c r="G72" i="82"/>
  <c r="B26" i="82"/>
  <c r="G52" i="82"/>
  <c r="G54" i="82" s="1"/>
  <c r="G55" i="82" s="1"/>
  <c r="G56" i="82" s="1"/>
  <c r="I52" i="82"/>
  <c r="I54" i="82" s="1"/>
  <c r="I55" i="82" s="1"/>
  <c r="I56" i="82" s="1"/>
  <c r="H52" i="82"/>
  <c r="H54" i="82" s="1"/>
  <c r="H55" i="82" s="1"/>
  <c r="H56" i="82" s="1"/>
  <c r="J52" i="82"/>
  <c r="J54" i="82" s="1"/>
  <c r="J55" i="82" s="1"/>
  <c r="J56" i="82" s="1"/>
  <c r="K52" i="82"/>
  <c r="K54" i="82" s="1"/>
  <c r="K55" i="82" s="1"/>
  <c r="K56" i="82" s="1"/>
  <c r="K72" i="82"/>
  <c r="B52" i="82"/>
  <c r="B54" i="82" s="1"/>
  <c r="B55" i="82" s="1"/>
  <c r="B56" i="82" s="1"/>
  <c r="E52" i="82"/>
  <c r="E54" i="82" s="1"/>
  <c r="E55" i="82" s="1"/>
  <c r="E56" i="82" s="1"/>
  <c r="D72" i="82"/>
  <c r="F72" i="82"/>
  <c r="C72" i="82"/>
  <c r="H72" i="82"/>
  <c r="B72" i="82"/>
  <c r="C52" i="82"/>
  <c r="C54" i="82" s="1"/>
  <c r="C55" i="82" s="1"/>
  <c r="C56" i="82" s="1"/>
  <c r="F52" i="82"/>
  <c r="F54" i="82" s="1"/>
  <c r="F55" i="82" s="1"/>
  <c r="F56" i="82" s="1"/>
  <c r="D52" i="82"/>
  <c r="D54" i="82" s="1"/>
  <c r="D55" i="82" s="1"/>
  <c r="D56" i="82" s="1"/>
  <c r="D46" i="74"/>
  <c r="D52" i="74" s="1"/>
  <c r="B74" i="82" l="1"/>
  <c r="B75" i="82" s="1"/>
  <c r="B76" i="82" s="1"/>
  <c r="D60" i="74"/>
  <c r="D64" i="82"/>
  <c r="D66" i="74"/>
  <c r="E1002" i="93"/>
  <c r="E1008" i="93" s="1"/>
  <c r="G29" i="86"/>
  <c r="G37" i="86" s="1"/>
  <c r="G38" i="86" s="1"/>
  <c r="G40" i="86" s="1"/>
  <c r="G44" i="86" s="1"/>
  <c r="K17" i="86" s="1"/>
  <c r="S30" i="74"/>
  <c r="F21" i="86"/>
  <c r="E22" i="86"/>
  <c r="G43" i="74"/>
  <c r="F50" i="74"/>
  <c r="F49" i="74"/>
  <c r="F44" i="74"/>
  <c r="F45" i="74"/>
  <c r="F51" i="74"/>
  <c r="C53" i="86"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9" i="82"/>
  <c r="B10" i="82" s="1"/>
  <c r="B11" i="82" s="1"/>
  <c r="F1000" i="93"/>
  <c r="G999" i="93"/>
  <c r="F1007" i="93"/>
  <c r="F1005" i="93"/>
  <c r="F1001" i="93"/>
  <c r="C71" i="82"/>
  <c r="C74" i="82" s="1"/>
  <c r="C75" i="82" s="1"/>
  <c r="C76" i="82" s="1"/>
  <c r="C66" i="82"/>
  <c r="E46" i="74"/>
  <c r="E52" i="74" s="1"/>
  <c r="E1014" i="93"/>
  <c r="F58" i="74"/>
  <c r="E73" i="82"/>
  <c r="E1016" i="93" l="1"/>
  <c r="E1022" i="93"/>
  <c r="E64" i="82"/>
  <c r="E60" i="74"/>
  <c r="F1014" i="93"/>
  <c r="G58" i="74"/>
  <c r="F73" i="82"/>
  <c r="G1000" i="93"/>
  <c r="H999" i="93"/>
  <c r="G1007" i="93"/>
  <c r="G1005" i="93"/>
  <c r="G1001" i="93"/>
  <c r="F46" i="74"/>
  <c r="F52" i="74" s="1"/>
  <c r="G21" i="82"/>
  <c r="F66" i="74"/>
  <c r="G21" i="86"/>
  <c r="F22" i="86"/>
  <c r="E66" i="74"/>
  <c r="F1008" i="93"/>
  <c r="F1016" i="93" s="1"/>
  <c r="F1002" i="93"/>
  <c r="F1022" i="93" s="1"/>
  <c r="D71" i="82"/>
  <c r="D74" i="82" s="1"/>
  <c r="D75" i="82" s="1"/>
  <c r="D76" i="82" s="1"/>
  <c r="D66" i="82"/>
  <c r="G50" i="74"/>
  <c r="H43" i="74"/>
  <c r="G49" i="74"/>
  <c r="G44" i="74"/>
  <c r="G45" i="74"/>
  <c r="G51" i="74"/>
  <c r="D53" i="86" s="1"/>
  <c r="D57" i="86" s="1"/>
  <c r="D58" i="86" s="1"/>
  <c r="D60" i="86" s="1"/>
  <c r="D64" i="86" s="1"/>
  <c r="K21" i="86" s="1"/>
  <c r="H29" i="86"/>
  <c r="H37" i="86" s="1"/>
  <c r="H38" i="86" s="1"/>
  <c r="H40" i="86" s="1"/>
  <c r="H44" i="86" s="1"/>
  <c r="K18" i="86" s="1"/>
  <c r="S31" i="74"/>
  <c r="H50" i="74" l="1"/>
  <c r="I43" i="74"/>
  <c r="H49" i="74"/>
  <c r="H44" i="74"/>
  <c r="H45" i="74"/>
  <c r="H51" i="74"/>
  <c r="E53" i="86" s="1"/>
  <c r="E57" i="86" s="1"/>
  <c r="E58" i="86" s="1"/>
  <c r="E60" i="86" s="1"/>
  <c r="E64" i="86" s="1"/>
  <c r="K22" i="86" s="1"/>
  <c r="F60" i="74"/>
  <c r="F64" i="82"/>
  <c r="G1014" i="93"/>
  <c r="G73" i="82"/>
  <c r="H58" i="74"/>
  <c r="G22" i="86"/>
  <c r="H21" i="86"/>
  <c r="I999" i="93"/>
  <c r="H1007" i="93"/>
  <c r="H1005" i="93"/>
  <c r="H1001" i="93"/>
  <c r="H1000" i="93"/>
  <c r="G46" i="74"/>
  <c r="G52" i="74" s="1"/>
  <c r="G1002" i="93"/>
  <c r="G1008" i="93" s="1"/>
  <c r="G1016" i="93" s="1"/>
  <c r="I29" i="86"/>
  <c r="I37" i="86" s="1"/>
  <c r="I38" i="86" s="1"/>
  <c r="I40" i="86" s="1"/>
  <c r="I44" i="86" s="1"/>
  <c r="K19" i="86" s="1"/>
  <c r="S32" i="74"/>
  <c r="G66" i="74"/>
  <c r="E71" i="82"/>
  <c r="E74" i="82" s="1"/>
  <c r="E75" i="82" s="1"/>
  <c r="E76" i="82" s="1"/>
  <c r="E66" i="82"/>
  <c r="H46" i="74" l="1"/>
  <c r="G60" i="74"/>
  <c r="S34" i="74" s="1"/>
  <c r="G64" i="82"/>
  <c r="F71" i="82"/>
  <c r="F74" i="82" s="1"/>
  <c r="F75" i="82" s="1"/>
  <c r="F76" i="82" s="1"/>
  <c r="F66" i="82"/>
  <c r="G1022" i="93"/>
  <c r="H1014" i="93"/>
  <c r="H73" i="82"/>
  <c r="I58" i="74"/>
  <c r="C49" i="86"/>
  <c r="C57" i="86" s="1"/>
  <c r="C58" i="86" s="1"/>
  <c r="C60" i="86" s="1"/>
  <c r="C64" i="86" s="1"/>
  <c r="K20" i="86" s="1"/>
  <c r="S33" i="74"/>
  <c r="H52" i="74"/>
  <c r="H1002" i="93"/>
  <c r="H1022" i="93" s="1"/>
  <c r="I1007" i="93"/>
  <c r="I1005" i="93"/>
  <c r="I1001" i="93"/>
  <c r="I1000" i="93"/>
  <c r="J999" i="93"/>
  <c r="J43" i="74"/>
  <c r="I50" i="74"/>
  <c r="I49" i="74"/>
  <c r="I44" i="74"/>
  <c r="I45" i="74"/>
  <c r="I51" i="74"/>
  <c r="F53" i="86" s="1"/>
  <c r="F57" i="86" s="1"/>
  <c r="F58" i="86" s="1"/>
  <c r="F60" i="86" s="1"/>
  <c r="F64" i="86" s="1"/>
  <c r="K23" i="86" s="1"/>
  <c r="I21" i="86"/>
  <c r="I22" i="86" s="1"/>
  <c r="H22" i="86"/>
  <c r="H66" i="74"/>
  <c r="H1008" i="93" l="1"/>
  <c r="H1016" i="93" s="1"/>
  <c r="K43" i="74"/>
  <c r="J50" i="74"/>
  <c r="J49" i="74"/>
  <c r="J44" i="74"/>
  <c r="J45" i="74"/>
  <c r="J51" i="74"/>
  <c r="G53" i="86" s="1"/>
  <c r="G57" i="86" s="1"/>
  <c r="G58" i="86" s="1"/>
  <c r="G60" i="86" s="1"/>
  <c r="G64" i="86" s="1"/>
  <c r="K24" i="86" s="1"/>
  <c r="I1014" i="93"/>
  <c r="J58" i="74"/>
  <c r="I73" i="82"/>
  <c r="I46" i="74"/>
  <c r="I66" i="74" s="1"/>
  <c r="J1000" i="93"/>
  <c r="K999" i="93"/>
  <c r="J1007" i="93"/>
  <c r="J1005" i="93"/>
  <c r="J1001" i="93"/>
  <c r="H60" i="74"/>
  <c r="S35" i="74" s="1"/>
  <c r="H64" i="82"/>
  <c r="I52" i="74"/>
  <c r="I1002" i="93"/>
  <c r="I1022" i="93" s="1"/>
  <c r="F44" i="68"/>
  <c r="G66" i="82"/>
  <c r="G71" i="82"/>
  <c r="G74" i="82" s="1"/>
  <c r="G75" i="82" s="1"/>
  <c r="G76" i="82" s="1"/>
  <c r="I45" i="68" l="1"/>
  <c r="F45" i="68" s="1"/>
  <c r="F408" i="93" s="1"/>
  <c r="F407" i="93"/>
  <c r="J46" i="74"/>
  <c r="B1029" i="93"/>
  <c r="K1000" i="93"/>
  <c r="K1007" i="93"/>
  <c r="K1005" i="93"/>
  <c r="K1001" i="93"/>
  <c r="J1014" i="93"/>
  <c r="K58" i="74"/>
  <c r="J73" i="82"/>
  <c r="I408" i="93"/>
  <c r="F85" i="92"/>
  <c r="F89" i="92" s="1"/>
  <c r="F105" i="92" s="1"/>
  <c r="I1008" i="93"/>
  <c r="I1016" i="93" s="1"/>
  <c r="J1002" i="93"/>
  <c r="J1008" i="93" s="1"/>
  <c r="J52" i="74"/>
  <c r="I64" i="82"/>
  <c r="I60" i="74"/>
  <c r="S36" i="74" s="1"/>
  <c r="J66" i="74"/>
  <c r="H66" i="82"/>
  <c r="H71" i="82"/>
  <c r="H74" i="82" s="1"/>
  <c r="K50" i="74"/>
  <c r="B73" i="74"/>
  <c r="K49" i="74"/>
  <c r="K44" i="74"/>
  <c r="K45" i="74"/>
  <c r="K51" i="74"/>
  <c r="H53" i="86" s="1"/>
  <c r="H57" i="86" s="1"/>
  <c r="H58" i="86" s="1"/>
  <c r="H60" i="86" s="1"/>
  <c r="H64" i="86" s="1"/>
  <c r="K25" i="86" s="1"/>
  <c r="J1022" i="93" l="1"/>
  <c r="J1016" i="93"/>
  <c r="C73" i="74"/>
  <c r="B80" i="74"/>
  <c r="B79" i="74"/>
  <c r="B74" i="74"/>
  <c r="B75" i="74"/>
  <c r="B81" i="74"/>
  <c r="J64" i="82"/>
  <c r="J60" i="74"/>
  <c r="S37" i="74" s="1"/>
  <c r="K1014" i="93"/>
  <c r="K73" i="82"/>
  <c r="B88" i="74"/>
  <c r="K1002" i="93"/>
  <c r="K1008" i="93" s="1"/>
  <c r="K1016" i="93" s="1"/>
  <c r="K46" i="74"/>
  <c r="K52" i="74" s="1"/>
  <c r="H75" i="82"/>
  <c r="H76" i="82" s="1"/>
  <c r="I66" i="82"/>
  <c r="I71" i="82"/>
  <c r="I74" i="82" s="1"/>
  <c r="I75" i="82" s="1"/>
  <c r="I76" i="82" s="1"/>
  <c r="C1029" i="93"/>
  <c r="B1031" i="93"/>
  <c r="B1030" i="93"/>
  <c r="B1035" i="93"/>
  <c r="B1037" i="93"/>
  <c r="K60" i="74" l="1"/>
  <c r="S38" i="74" s="1"/>
  <c r="K64" i="82"/>
  <c r="B1032" i="93"/>
  <c r="B1051" i="93" s="1"/>
  <c r="B1044" i="93"/>
  <c r="C88" i="74"/>
  <c r="J66" i="82"/>
  <c r="J71" i="82"/>
  <c r="J74" i="82" s="1"/>
  <c r="J75" i="82" s="1"/>
  <c r="J76" i="82" s="1"/>
  <c r="B76" i="74"/>
  <c r="B82" i="74"/>
  <c r="B89" i="74" s="1"/>
  <c r="K1022" i="93"/>
  <c r="K66" i="74"/>
  <c r="B95" i="74"/>
  <c r="C1030" i="93"/>
  <c r="C1037" i="93"/>
  <c r="C1035" i="93"/>
  <c r="C1031" i="93"/>
  <c r="D1029" i="93"/>
  <c r="D73" i="74"/>
  <c r="C80" i="74"/>
  <c r="C79" i="74"/>
  <c r="C74" i="74"/>
  <c r="C75" i="74"/>
  <c r="C81" i="74"/>
  <c r="B1038" i="93" l="1"/>
  <c r="B1045" i="93" s="1"/>
  <c r="D80" i="74"/>
  <c r="E73" i="74"/>
  <c r="D79" i="74"/>
  <c r="D74" i="74"/>
  <c r="D75" i="74"/>
  <c r="D81" i="74"/>
  <c r="C76" i="74"/>
  <c r="C95" i="74" s="1"/>
  <c r="E1029" i="93"/>
  <c r="D1031" i="93"/>
  <c r="D1030" i="93"/>
  <c r="D1035" i="93"/>
  <c r="D1037" i="93"/>
  <c r="C1032" i="93"/>
  <c r="C1038" i="93" s="1"/>
  <c r="C1051" i="93"/>
  <c r="C1044" i="93"/>
  <c r="D88" i="74"/>
  <c r="K66" i="82"/>
  <c r="K71" i="82"/>
  <c r="K74" i="82" s="1"/>
  <c r="K75" i="82" s="1"/>
  <c r="K76" i="82" s="1"/>
  <c r="D76" i="74" l="1"/>
  <c r="C82" i="74"/>
  <c r="C89" i="74" s="1"/>
  <c r="C1045" i="93"/>
  <c r="D1032" i="93"/>
  <c r="D1038" i="93" s="1"/>
  <c r="D1051" i="93"/>
  <c r="D82" i="74"/>
  <c r="D89" i="74" s="1"/>
  <c r="D1044" i="93"/>
  <c r="E88" i="74"/>
  <c r="E80" i="74"/>
  <c r="F73" i="74"/>
  <c r="E79" i="74"/>
  <c r="E74" i="74"/>
  <c r="E75" i="74"/>
  <c r="E81" i="74"/>
  <c r="E1037" i="93"/>
  <c r="E1035" i="93"/>
  <c r="E1031" i="93"/>
  <c r="F1029" i="93"/>
  <c r="E1030" i="93"/>
  <c r="D95" i="74"/>
  <c r="D1045" i="93" l="1"/>
  <c r="F1035" i="93"/>
  <c r="F1037" i="93"/>
  <c r="F1030" i="93"/>
  <c r="G1029" i="93"/>
  <c r="F1031" i="93"/>
  <c r="G73" i="74"/>
  <c r="F80" i="74"/>
  <c r="F79" i="74"/>
  <c r="F74" i="74"/>
  <c r="F75" i="74"/>
  <c r="F81" i="74"/>
  <c r="E76" i="74"/>
  <c r="E82" i="74" s="1"/>
  <c r="E89" i="74" s="1"/>
  <c r="E1044" i="93"/>
  <c r="F88" i="74"/>
  <c r="E1032" i="93"/>
  <c r="E1038" i="93" s="1"/>
  <c r="E1045" i="93" s="1"/>
  <c r="E95" i="74" l="1"/>
  <c r="F76" i="74"/>
  <c r="F95" i="74" s="1"/>
  <c r="G1030" i="93"/>
  <c r="H1029" i="93"/>
  <c r="G1031" i="93"/>
  <c r="G1037" i="93"/>
  <c r="G1035" i="93"/>
  <c r="F1032" i="93"/>
  <c r="F1051" i="93" s="1"/>
  <c r="F1044" i="93"/>
  <c r="G88" i="74"/>
  <c r="E1051" i="93"/>
  <c r="H73" i="74"/>
  <c r="G80" i="74"/>
  <c r="G79" i="74"/>
  <c r="G74" i="74"/>
  <c r="G75" i="74"/>
  <c r="G81" i="74"/>
  <c r="F82" i="74" l="1"/>
  <c r="F89" i="74" s="1"/>
  <c r="G76" i="74"/>
  <c r="G82" i="74" s="1"/>
  <c r="G89" i="74" s="1"/>
  <c r="G1044" i="93"/>
  <c r="H88" i="74"/>
  <c r="F1038" i="93"/>
  <c r="F1045" i="93" s="1"/>
  <c r="I1029" i="93"/>
  <c r="H1037" i="93"/>
  <c r="H1035" i="93"/>
  <c r="H1031" i="93"/>
  <c r="H1030" i="93"/>
  <c r="G1032" i="93"/>
  <c r="G1038" i="93" s="1"/>
  <c r="G1045" i="93" s="1"/>
  <c r="H80" i="74"/>
  <c r="I73" i="74"/>
  <c r="H79" i="74"/>
  <c r="H74" i="74"/>
  <c r="H75" i="74"/>
  <c r="H81" i="74"/>
  <c r="G95" i="74" l="1"/>
  <c r="G1051" i="93"/>
  <c r="J73" i="74"/>
  <c r="I80" i="74"/>
  <c r="I79" i="74"/>
  <c r="I74" i="74"/>
  <c r="I75" i="74"/>
  <c r="I81" i="74"/>
  <c r="H1032" i="93"/>
  <c r="H1038" i="93" s="1"/>
  <c r="I1037" i="93"/>
  <c r="I1035" i="93"/>
  <c r="I1031" i="93"/>
  <c r="I1030" i="93"/>
  <c r="J1029" i="93"/>
  <c r="H76" i="74"/>
  <c r="H82" i="74" s="1"/>
  <c r="H89" i="74" s="1"/>
  <c r="H1044" i="93"/>
  <c r="I88" i="74"/>
  <c r="H1045" i="93" l="1"/>
  <c r="I76" i="74"/>
  <c r="I82" i="74" s="1"/>
  <c r="I89" i="74" s="1"/>
  <c r="I1044" i="93"/>
  <c r="J88" i="74"/>
  <c r="J1031" i="93"/>
  <c r="K1029" i="93"/>
  <c r="J1037" i="93"/>
  <c r="J1030" i="93"/>
  <c r="J1035" i="93"/>
  <c r="H95" i="74"/>
  <c r="I95" i="74"/>
  <c r="I1032" i="93"/>
  <c r="I1051" i="93" s="1"/>
  <c r="H1051" i="93"/>
  <c r="K73" i="74"/>
  <c r="J80" i="74"/>
  <c r="J79" i="74"/>
  <c r="J74" i="74"/>
  <c r="J75" i="74"/>
  <c r="J81" i="74"/>
  <c r="J76" i="74" l="1"/>
  <c r="I1038" i="93"/>
  <c r="I1045" i="93" s="1"/>
  <c r="K80" i="74"/>
  <c r="B101" i="74"/>
  <c r="K79" i="74"/>
  <c r="K74" i="74"/>
  <c r="K75" i="74"/>
  <c r="K81" i="74"/>
  <c r="J1032" i="93"/>
  <c r="J1038" i="93" s="1"/>
  <c r="J1051" i="93"/>
  <c r="J1044" i="93"/>
  <c r="K88" i="74"/>
  <c r="J82" i="74"/>
  <c r="J89" i="74" s="1"/>
  <c r="K1030" i="93"/>
  <c r="K1035" i="93"/>
  <c r="K1037" i="93"/>
  <c r="K1031" i="93"/>
  <c r="B1057" i="93"/>
  <c r="J95" i="74"/>
  <c r="J1045" i="93" l="1"/>
  <c r="K76" i="74"/>
  <c r="K1044" i="93"/>
  <c r="B116" i="74"/>
  <c r="K82" i="74"/>
  <c r="K89" i="74" s="1"/>
  <c r="B108" i="74"/>
  <c r="C101" i="74"/>
  <c r="B107" i="74"/>
  <c r="B102" i="74"/>
  <c r="B103" i="74"/>
  <c r="B109" i="74"/>
  <c r="B1058" i="93"/>
  <c r="C1057" i="93"/>
  <c r="B1065" i="93"/>
  <c r="B1059" i="93"/>
  <c r="B1063" i="93"/>
  <c r="K1032" i="93"/>
  <c r="K1038" i="93" s="1"/>
  <c r="K1045" i="93" s="1"/>
  <c r="K95" i="74"/>
  <c r="K1051" i="93" l="1"/>
  <c r="C1065" i="93"/>
  <c r="C1063" i="93"/>
  <c r="C1059" i="93"/>
  <c r="D1057" i="93"/>
  <c r="C1058" i="93"/>
  <c r="B104" i="74"/>
  <c r="B110" i="74" s="1"/>
  <c r="B117" i="74" s="1"/>
  <c r="B1066" i="93"/>
  <c r="B1060" i="93"/>
  <c r="B1079" i="93" s="1"/>
  <c r="B1072" i="93"/>
  <c r="C116" i="74"/>
  <c r="D101" i="74"/>
  <c r="C108" i="74"/>
  <c r="C107" i="74"/>
  <c r="C102" i="74"/>
  <c r="C103" i="74"/>
  <c r="C109" i="74"/>
  <c r="B123" i="74" l="1"/>
  <c r="B1073" i="93"/>
  <c r="D1063" i="93"/>
  <c r="D1058" i="93"/>
  <c r="E1057" i="93"/>
  <c r="D1065" i="93"/>
  <c r="D1059" i="93"/>
  <c r="E101" i="74"/>
  <c r="D108" i="74"/>
  <c r="D107" i="74"/>
  <c r="D102" i="74"/>
  <c r="D103" i="74"/>
  <c r="D109" i="74"/>
  <c r="C104" i="74"/>
  <c r="C110" i="74" s="1"/>
  <c r="C117" i="74" s="1"/>
  <c r="C1072" i="93"/>
  <c r="D116" i="74"/>
  <c r="C1060" i="93"/>
  <c r="C1066" i="93" s="1"/>
  <c r="C1079" i="93" l="1"/>
  <c r="C1073" i="93"/>
  <c r="D104" i="74"/>
  <c r="D110" i="74" s="1"/>
  <c r="D117" i="74" s="1"/>
  <c r="C123" i="74"/>
  <c r="E1063" i="93"/>
  <c r="E1059" i="93"/>
  <c r="E1065" i="93"/>
  <c r="E1058" i="93"/>
  <c r="F1057" i="93"/>
  <c r="D1060" i="93"/>
  <c r="D1066" i="93" s="1"/>
  <c r="D1079" i="93"/>
  <c r="D1072" i="93"/>
  <c r="E116" i="74"/>
  <c r="E108" i="74"/>
  <c r="F101" i="74"/>
  <c r="E107" i="74"/>
  <c r="E102" i="74"/>
  <c r="E103" i="74"/>
  <c r="E109" i="74"/>
  <c r="D123" i="74" l="1"/>
  <c r="D1073" i="93"/>
  <c r="F108" i="74"/>
  <c r="F107" i="74"/>
  <c r="F102" i="74"/>
  <c r="F103" i="74"/>
  <c r="F109" i="74"/>
  <c r="F1058" i="93"/>
  <c r="F1065" i="93"/>
  <c r="F1059" i="93"/>
  <c r="F1063" i="93"/>
  <c r="E1060" i="93"/>
  <c r="E1066" i="93" s="1"/>
  <c r="E104" i="74"/>
  <c r="E123" i="74" s="1"/>
  <c r="E110" i="74"/>
  <c r="E117" i="74" s="1"/>
  <c r="E1072" i="93"/>
  <c r="F116" i="74"/>
  <c r="F1072" i="93" s="1"/>
  <c r="E1073" i="93" l="1"/>
  <c r="E1079" i="93"/>
  <c r="F104" i="74"/>
  <c r="F123" i="74" s="1"/>
  <c r="F1060" i="93"/>
  <c r="F1079" i="93" s="1"/>
  <c r="F110" i="74"/>
  <c r="F117" i="74" s="1"/>
  <c r="F1066" i="93" l="1"/>
  <c r="F1073"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<sst xmlns="http://schemas.openxmlformats.org/spreadsheetml/2006/main" count="13189" uniqueCount="4823">
  <si>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</si>
  <si>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</si>
  <si>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</si>
  <si>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</si>
  <si>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</si>
  <si>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</si>
  <si>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</si>
  <si>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</si>
  <si>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</si>
  <si>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</si>
  <si>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</si>
  <si>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</si>
  <si>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</si>
  <si>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</si>
  <si>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</si>
  <si>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</si>
  <si>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</si>
  <si>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</si>
  <si>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</si>
  <si>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</si>
  <si>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</si>
  <si>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</si>
  <si>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</si>
  <si>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</si>
  <si>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</si>
  <si>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</si>
  <si>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</si>
  <si>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</si>
  <si>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</si>
  <si>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</si>
  <si>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</si>
  <si>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</si>
  <si>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</si>
  <si>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</si>
  <si>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</si>
  <si>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</si>
  <si>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</si>
  <si>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</si>
  <si>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</si>
  <si>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</si>
  <si>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</si>
  <si>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</si>
  <si>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</si>
  <si>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</si>
  <si>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</si>
  <si>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</si>
  <si>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</si>
  <si>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</si>
  <si>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</si>
  <si>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</si>
  <si>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</si>
  <si>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</si>
  <si>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</si>
  <si>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</si>
  <si>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</si>
  <si>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</si>
  <si>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</si>
  <si>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</si>
  <si>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</si>
  <si>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</si>
  <si>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</si>
  <si>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</si>
  <si>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</si>
  <si>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</si>
  <si>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</si>
  <si>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</si>
  <si>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</si>
  <si>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</si>
  <si>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</si>
  <si>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</si>
  <si>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</si>
  <si>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</si>
  <si>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</si>
  <si>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</si>
  <si>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</si>
  <si>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</si>
  <si>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</si>
  <si>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</si>
  <si>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</si>
  <si>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</si>
  <si>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</si>
  <si>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</si>
  <si>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</si>
  <si>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</si>
  <si>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</si>
  <si>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</si>
  <si>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</si>
  <si>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</si>
  <si>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</si>
  <si>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</si>
  <si>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</si>
  <si>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</si>
  <si>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</si>
  <si>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</si>
  <si>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</si>
  <si>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</si>
  <si>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</si>
  <si>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</si>
  <si>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</si>
  <si>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</si>
  <si>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</si>
  <si>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</si>
  <si>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</si>
  <si>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</si>
  <si>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</si>
  <si>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</si>
  <si>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</si>
  <si>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</si>
  <si>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</si>
  <si>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</si>
  <si>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</si>
  <si>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</si>
  <si>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</si>
  <si>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</si>
  <si>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</si>
  <si>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</si>
  <si>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</si>
  <si>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</si>
  <si>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</si>
  <si>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</si>
  <si>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</si>
  <si>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</si>
  <si>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</si>
  <si>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</si>
  <si>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</si>
  <si>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</si>
  <si>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</si>
  <si>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</si>
  <si>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</si>
  <si>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</si>
  <si>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</si>
  <si>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</si>
  <si>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</si>
  <si>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</si>
  <si>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</si>
  <si>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</si>
  <si>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</si>
  <si>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</si>
  <si>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</si>
  <si>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</si>
  <si>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</si>
  <si>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</si>
  <si>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</si>
  <si>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</si>
  <si>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</si>
  <si>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</si>
  <si>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</si>
  <si>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</si>
  <si>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</si>
  <si>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</si>
  <si>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</si>
  <si>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</si>
  <si>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</si>
  <si>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</si>
  <si>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</si>
  <si>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</si>
  <si>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</si>
  <si>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</si>
  <si>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</si>
  <si>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</si>
  <si>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</si>
  <si>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</si>
  <si>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</si>
  <si>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</si>
  <si>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</si>
  <si>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</si>
  <si>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</si>
  <si>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</si>
  <si>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</si>
  <si>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</si>
  <si>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</si>
  <si>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</si>
  <si>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</si>
  <si>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</si>
  <si>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</si>
  <si>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</si>
  <si>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</si>
  <si>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</si>
  <si>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</si>
  <si>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</si>
  <si>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</si>
  <si>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</si>
  <si>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</si>
  <si>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</si>
  <si>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</si>
  <si>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</si>
  <si>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</si>
  <si>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</si>
  <si>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</si>
  <si>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</si>
  <si>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</si>
  <si>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</si>
  <si>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</si>
  <si>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</si>
  <si>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</si>
  <si>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</si>
  <si>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</si>
  <si>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</si>
  <si>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</si>
  <si>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</si>
  <si>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</si>
  <si>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</si>
  <si>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</si>
  <si>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</si>
  <si>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</si>
  <si>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</si>
  <si>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</si>
  <si>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</si>
  <si>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</si>
  <si>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</si>
  <si>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</si>
  <si>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</si>
  <si>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</si>
  <si>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</si>
  <si>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</si>
  <si>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</si>
  <si>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</si>
  <si>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</si>
  <si>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</si>
  <si>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</si>
  <si>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</si>
  <si>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</si>
  <si>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</si>
  <si>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</si>
  <si>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</si>
  <si>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</si>
  <si>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</si>
  <si>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</si>
  <si>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</si>
  <si>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</si>
  <si>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</si>
  <si>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</si>
  <si>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</si>
  <si>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</si>
  <si>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</si>
  <si>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</si>
  <si>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</si>
  <si>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</si>
  <si>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</si>
  <si>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</si>
  <si>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</si>
  <si>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</si>
  <si>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</si>
  <si>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</si>
  <si>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</si>
  <si>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</si>
  <si>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</si>
  <si>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</si>
  <si>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</si>
  <si>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</si>
  <si>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</si>
  <si>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</si>
  <si>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</si>
  <si>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</si>
  <si>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</si>
  <si>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</si>
  <si>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</si>
  <si>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</si>
  <si>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</si>
  <si>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</si>
  <si>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</si>
  <si>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</si>
  <si>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</si>
  <si>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</si>
  <si>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</si>
  <si>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</si>
  <si>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</si>
  <si>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</si>
  <si>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</si>
  <si>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</si>
  <si>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</si>
  <si>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</si>
  <si>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</si>
  <si>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</si>
  <si>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</si>
  <si>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</si>
  <si>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</si>
  <si>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</si>
  <si>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</si>
  <si>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</si>
  <si>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</si>
  <si>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</si>
  <si>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</si>
  <si>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</si>
  <si>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</si>
  <si>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</si>
  <si>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</si>
  <si>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</si>
  <si>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</si>
  <si>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</si>
  <si>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</si>
  <si>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</si>
  <si>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</si>
  <si>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</si>
  <si>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</si>
  <si>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</si>
  <si>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</si>
  <si>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</si>
  <si>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</si>
  <si>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</si>
  <si>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</si>
  <si>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</si>
  <si>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</si>
  <si>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</si>
  <si>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</si>
  <si>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</si>
  <si>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</si>
  <si>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</si>
  <si>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</si>
  <si>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</si>
  <si>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</si>
  <si>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</si>
  <si>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</si>
  <si>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</si>
  <si>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</si>
  <si>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</si>
  <si>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</si>
  <si>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</si>
  <si>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</si>
  <si>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</si>
  <si>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</si>
  <si>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</si>
  <si>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</si>
  <si>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</si>
  <si>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</si>
  <si>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</si>
  <si>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</si>
  <si>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</si>
  <si>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</si>
  <si>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</si>
  <si>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</si>
  <si>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</si>
  <si>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</si>
  <si>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</si>
  <si>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</si>
  <si>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</si>
  <si>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</si>
  <si>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</si>
  <si>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</si>
  <si>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</si>
  <si>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</si>
  <si>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</si>
  <si>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</si>
  <si>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</si>
  <si>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</si>
  <si>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</si>
  <si>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</si>
  <si>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</si>
  <si>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</si>
  <si>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</si>
  <si>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</si>
  <si>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</si>
  <si>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</si>
  <si>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</si>
  <si>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</si>
  <si>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</si>
  <si>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</si>
  <si>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</si>
  <si>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</si>
  <si>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</si>
  <si>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</si>
  <si>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</si>
  <si>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</si>
  <si>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</si>
  <si>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</si>
  <si>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</si>
  <si>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</si>
  <si>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</si>
  <si>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</si>
  <si>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</si>
  <si>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</si>
  <si>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</si>
  <si>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</si>
  <si>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</si>
  <si>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</si>
  <si>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</si>
  <si>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</si>
  <si>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</si>
  <si>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</si>
  <si>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</si>
  <si>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</si>
  <si>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</si>
  <si>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</si>
  <si>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</si>
  <si>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</si>
  <si>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</si>
  <si>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</si>
  <si>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</si>
  <si>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</si>
  <si>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</si>
  <si>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</si>
  <si>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</si>
  <si>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</si>
  <si>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</si>
  <si>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</si>
  <si>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</si>
  <si>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</si>
  <si>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</si>
  <si>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</si>
  <si>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</si>
  <si>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</si>
  <si>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</si>
  <si>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</si>
  <si>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</si>
  <si>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</si>
  <si>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</si>
  <si>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</si>
  <si>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</si>
  <si>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</si>
  <si>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</si>
  <si>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</si>
  <si>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</si>
  <si>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</si>
  <si>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</si>
  <si>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</si>
  <si>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</si>
  <si>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</si>
  <si>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</si>
  <si>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</si>
  <si>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</si>
  <si>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</si>
  <si>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</si>
  <si>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</si>
  <si>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</si>
  <si>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</si>
  <si>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</si>
  <si>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</si>
  <si>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</si>
  <si>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</si>
  <si>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</si>
  <si>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</si>
  <si>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</si>
  <si>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</si>
  <si>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</si>
  <si>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</si>
  <si>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</si>
  <si>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</si>
  <si>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</si>
  <si>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</si>
  <si>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</si>
  <si>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</si>
  <si>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</si>
  <si>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</si>
  <si>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</si>
  <si>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</si>
  <si>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</si>
  <si>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</si>
  <si>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</si>
  <si>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</si>
  <si>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</si>
  <si>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</si>
  <si>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</si>
  <si>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</si>
  <si>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</si>
  <si>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</si>
  <si>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</si>
  <si>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</si>
  <si>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</si>
  <si>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</si>
  <si>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</si>
  <si>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</si>
  <si>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</si>
  <si>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</si>
  <si>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</si>
  <si>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</si>
  <si>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</si>
  <si>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</si>
  <si>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</si>
  <si>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</si>
  <si>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</si>
  <si>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</si>
  <si>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</si>
  <si>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</si>
  <si>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</si>
  <si>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</si>
  <si>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</si>
  <si>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</si>
  <si>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</si>
  <si>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</si>
  <si>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</si>
  <si>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</si>
  <si>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</si>
  <si>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</si>
  <si>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</si>
  <si>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</si>
  <si>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</si>
  <si>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</si>
  <si>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</si>
  <si>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</si>
  <si>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</si>
  <si>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</si>
  <si>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</si>
  <si>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</si>
  <si>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</si>
  <si>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</si>
  <si>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</si>
  <si>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</si>
  <si>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</si>
  <si>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</si>
  <si>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</si>
  <si>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</si>
  <si>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</si>
  <si>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</si>
  <si>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</si>
  <si>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</si>
  <si>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</si>
  <si>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</si>
  <si>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</si>
  <si>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</si>
  <si>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</si>
  <si>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</si>
  <si>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</si>
  <si>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</si>
  <si>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</si>
  <si>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</si>
  <si>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</si>
  <si>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</si>
  <si>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</si>
  <si>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</si>
  <si>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</si>
  <si>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</si>
  <si>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</si>
  <si>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</si>
  <si>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</si>
  <si>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</si>
  <si>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</si>
  <si>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</si>
  <si>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</si>
  <si>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</si>
  <si>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</si>
  <si>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</si>
  <si>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</si>
  <si>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</si>
  <si>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</si>
  <si>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</si>
  <si>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</si>
  <si>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</si>
  <si>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</si>
  <si>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</si>
  <si>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</si>
  <si>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</si>
  <si>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</si>
  <si>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</si>
  <si>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</si>
  <si>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</si>
  <si>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</si>
  <si>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</si>
  <si>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</si>
  <si>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</si>
  <si>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</si>
  <si>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</si>
  <si>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</si>
  <si>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</si>
  <si>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</si>
  <si>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</si>
  <si>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</si>
  <si>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</si>
  <si>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</si>
  <si>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</si>
  <si>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</si>
  <si>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</si>
  <si>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</si>
  <si>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</si>
  <si>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</si>
  <si>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</si>
  <si>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</si>
  <si>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</si>
  <si>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</si>
  <si>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</si>
  <si>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</si>
  <si>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</si>
  <si>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</si>
  <si>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</si>
  <si>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</si>
  <si>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</si>
  <si>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</si>
  <si>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</si>
  <si>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</si>
  <si>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</si>
  <si>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</si>
  <si>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</si>
  <si>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</si>
  <si>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</si>
  <si>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</si>
  <si>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</si>
  <si>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</si>
  <si>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</si>
  <si>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</si>
  <si>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</si>
  <si>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</si>
  <si>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</si>
  <si>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</si>
  <si>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</si>
  <si>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</si>
  <si>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</si>
  <si>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</si>
  <si>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</si>
  <si>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</si>
  <si>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</si>
  <si>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</si>
  <si>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</si>
  <si>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</si>
  <si>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</si>
  <si>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</si>
  <si>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</si>
  <si>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</si>
  <si>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</si>
  <si>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</si>
  <si>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</si>
  <si>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</si>
  <si>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</si>
  <si>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</si>
  <si>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</si>
  <si>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</si>
  <si>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</si>
  <si>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</si>
  <si>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</si>
  <si>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</si>
  <si>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</si>
  <si>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</si>
  <si>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</si>
  <si>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</si>
  <si>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</si>
  <si>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</si>
  <si>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</si>
  <si>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</si>
  <si>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</si>
  <si>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</si>
  <si>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</si>
  <si>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</si>
  <si>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</si>
  <si>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</si>
  <si>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</si>
  <si>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</si>
  <si>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</si>
  <si>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</si>
  <si>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</si>
  <si>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</si>
  <si>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</si>
  <si>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</si>
  <si>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</si>
  <si>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</si>
  <si>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</si>
  <si>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</si>
  <si>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</si>
  <si>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</si>
  <si>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</si>
  <si>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</si>
  <si>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</si>
  <si>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</si>
  <si>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</si>
  <si>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</si>
  <si>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</si>
  <si>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</si>
  <si>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</si>
  <si>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</si>
  <si>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</si>
  <si>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</si>
  <si>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</si>
  <si>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</si>
  <si>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</si>
  <si>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</si>
  <si>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</si>
  <si>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</si>
  <si>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</si>
  <si>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</si>
  <si>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</si>
  <si>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</si>
  <si>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</si>
  <si>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</si>
  <si>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</si>
  <si>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</si>
  <si>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</si>
  <si>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</si>
  <si>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</si>
  <si>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</si>
  <si>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</si>
  <si>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</si>
  <si>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</si>
  <si>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</si>
  <si>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</si>
  <si>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</si>
  <si>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</si>
  <si>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</si>
  <si>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</si>
  <si>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</si>
  <si>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</si>
  <si>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</si>
  <si>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</si>
  <si>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</si>
  <si>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</si>
  <si>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</si>
  <si>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</si>
  <si>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</si>
  <si>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</si>
  <si>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</si>
  <si>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</si>
  <si>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</si>
  <si>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</si>
  <si>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</si>
  <si>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</si>
  <si>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</si>
  <si>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</si>
  <si>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</si>
  <si>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</si>
  <si>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</si>
  <si>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</si>
  <si>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</si>
  <si>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</si>
  <si>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</si>
  <si>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</si>
  <si>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</si>
  <si>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</si>
  <si>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</si>
  <si>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</si>
  <si>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</si>
  <si>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</si>
  <si>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</si>
  <si>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</si>
  <si>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</si>
  <si>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</si>
  <si>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</si>
  <si>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</si>
  <si>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</si>
  <si>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</si>
  <si>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</si>
  <si>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</si>
  <si>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</si>
  <si>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</si>
  <si>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</si>
  <si>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</si>
  <si>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</si>
  <si>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</si>
  <si>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</si>
  <si>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</si>
  <si>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</si>
  <si>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</si>
  <si>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</si>
  <si>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</si>
  <si>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</si>
  <si>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</si>
  <si>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</si>
  <si>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</si>
  <si>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</si>
  <si>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</si>
  <si>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</si>
  <si>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</si>
  <si>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</si>
  <si>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</si>
  <si>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</si>
  <si>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</si>
  <si>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</si>
  <si>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</si>
  <si>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</si>
  <si>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</si>
  <si>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</si>
  <si>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</si>
  <si>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</si>
  <si>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</si>
  <si>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</si>
  <si>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</si>
  <si>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</si>
  <si>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</si>
  <si>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</si>
  <si>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</si>
  <si>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</si>
  <si>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</si>
  <si>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</si>
  <si>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</si>
  <si>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</si>
  <si>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</si>
  <si>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</si>
  <si>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</si>
  <si>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</si>
  <si>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</si>
  <si>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</si>
  <si>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</si>
  <si>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</si>
  <si>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</si>
  <si>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</si>
  <si>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</si>
  <si>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</si>
  <si>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</si>
  <si>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</si>
  <si>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</si>
  <si>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</si>
  <si>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</si>
  <si>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</si>
  <si>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</si>
  <si>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</si>
  <si>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</si>
  <si>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</si>
  <si>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</si>
  <si>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</si>
  <si>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</si>
  <si>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</si>
  <si>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</si>
  <si>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</si>
  <si>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</si>
  <si>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</si>
  <si>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</si>
  <si>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</si>
  <si>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</si>
  <si>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</si>
  <si>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</si>
  <si>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</si>
  <si>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</si>
  <si>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</si>
  <si>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</si>
  <si>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</si>
  <si>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</si>
  <si>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</si>
  <si>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</si>
  <si>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</si>
  <si>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</si>
  <si>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</si>
  <si>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</si>
  <si>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</si>
  <si>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</si>
  <si>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</si>
  <si>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</si>
  <si>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</si>
  <si>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</si>
  <si>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</si>
  <si>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</si>
  <si>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</si>
  <si>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</si>
  <si>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</si>
  <si>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</si>
  <si>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</si>
  <si>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</si>
  <si>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</si>
  <si>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</si>
  <si>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</si>
  <si>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</si>
  <si>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</si>
  <si>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</si>
  <si>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</si>
  <si>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</si>
  <si>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</si>
  <si>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</si>
  <si>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</si>
  <si>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</si>
  <si>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</si>
  <si>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</si>
  <si>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</si>
  <si>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</si>
  <si>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</si>
  <si>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</si>
  <si>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</si>
  <si>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</si>
  <si>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</si>
  <si>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</si>
  <si>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</si>
  <si>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</si>
  <si>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</si>
  <si>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</si>
  <si>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</si>
  <si>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</si>
  <si>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</si>
  <si>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</si>
  <si>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</si>
  <si>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</si>
  <si>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</si>
  <si>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</si>
  <si>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</si>
  <si>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</si>
  <si>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</si>
  <si>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</si>
  <si>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</si>
  <si>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</si>
  <si>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</si>
  <si>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</si>
  <si>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</si>
  <si>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</si>
  <si>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</si>
  <si>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</si>
  <si>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</si>
  <si>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</si>
  <si>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</si>
  <si>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</si>
  <si>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</si>
  <si>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</si>
  <si>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</si>
  <si>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</si>
  <si>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</si>
  <si>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</si>
  <si>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</si>
  <si>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</si>
  <si>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</si>
  <si>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</si>
  <si>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</si>
  <si>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</si>
  <si>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</si>
  <si>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</si>
  <si>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</si>
  <si>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</si>
  <si>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</si>
  <si>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</si>
  <si>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</si>
  <si>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</si>
  <si>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</si>
  <si>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</si>
  <si>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</si>
  <si>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</si>
  <si>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</si>
  <si>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</si>
  <si>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</si>
  <si>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</si>
  <si>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</si>
  <si>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</si>
  <si>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</si>
  <si>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</si>
  <si>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</si>
  <si>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</si>
  <si>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</si>
  <si>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</si>
  <si>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</si>
  <si>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</si>
  <si>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</si>
  <si>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</si>
  <si>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</si>
  <si>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</si>
  <si>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</si>
  <si>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</si>
  <si>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</si>
  <si>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</si>
  <si>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</si>
  <si>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</si>
  <si>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</si>
  <si>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</si>
  <si>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</si>
  <si>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</si>
  <si>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</si>
  <si>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</si>
  <si>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</si>
  <si>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</si>
  <si>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</si>
  <si>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</si>
  <si>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</si>
  <si>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</si>
  <si>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</si>
  <si>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</si>
  <si>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</si>
  <si>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</si>
  <si>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</si>
  <si>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</si>
  <si>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</si>
  <si>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</si>
  <si>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</si>
  <si>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</si>
  <si>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</si>
  <si>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</si>
  <si>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</si>
  <si>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</si>
  <si>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</si>
  <si>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</si>
  <si>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</si>
  <si>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</si>
  <si>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</si>
  <si>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</si>
  <si>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</si>
  <si>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</si>
  <si>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</si>
  <si>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</si>
  <si>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</si>
  <si>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</si>
  <si>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</si>
  <si>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</si>
  <si>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</si>
  <si>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</si>
  <si>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</si>
  <si>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</si>
  <si>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</si>
  <si>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</si>
  <si>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</si>
  <si>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</si>
  <si>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</si>
  <si>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</si>
  <si>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</si>
  <si>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</si>
  <si>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</si>
  <si>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</si>
  <si>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</si>
  <si>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</si>
  <si>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</si>
  <si>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</si>
  <si>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</si>
  <si>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</si>
  <si>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</si>
  <si>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</si>
  <si>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</si>
  <si>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</si>
  <si>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</si>
  <si>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</si>
  <si>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</si>
  <si>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</si>
  <si>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</si>
  <si>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</si>
  <si>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</si>
  <si>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</si>
  <si>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</si>
  <si>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</si>
  <si>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</si>
  <si>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</si>
  <si>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</si>
  <si>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</si>
  <si>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</si>
  <si>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</si>
  <si>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</si>
  <si>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</si>
  <si>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</si>
  <si>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</si>
  <si>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</si>
  <si>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</si>
  <si>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</si>
  <si>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</si>
  <si>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</si>
  <si>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</si>
  <si>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</si>
  <si>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</si>
  <si>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</si>
  <si>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</si>
  <si>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</si>
  <si>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</si>
  <si>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</si>
  <si>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</si>
  <si>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</si>
  <si>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</si>
  <si>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</si>
  <si>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</si>
  <si>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</si>
  <si>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</si>
  <si>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</si>
  <si>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</si>
  <si>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</si>
  <si>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</si>
  <si>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</si>
  <si>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</si>
  <si>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</si>
  <si>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</si>
  <si>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</si>
  <si>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</si>
  <si>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</si>
  <si>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</si>
  <si>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</si>
  <si>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</si>
  <si>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</si>
  <si>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</si>
  <si>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</si>
  <si>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</si>
  <si>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</si>
  <si>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</si>
  <si>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</si>
  <si>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</si>
  <si>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</si>
  <si>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</si>
  <si>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</si>
  <si>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</si>
  <si>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</si>
  <si>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</si>
  <si>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</si>
  <si>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</si>
  <si>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</si>
  <si>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</si>
  <si>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</si>
  <si>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</si>
  <si>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</si>
  <si>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</si>
  <si>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</si>
  <si>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</si>
  <si>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</si>
  <si>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</si>
  <si>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</si>
  <si>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</si>
  <si>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</si>
  <si>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</si>
  <si>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</si>
  <si>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</si>
  <si>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</si>
  <si>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</si>
  <si>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</si>
  <si>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</si>
  <si>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</si>
  <si>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</si>
  <si>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</si>
  <si>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</si>
  <si>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</si>
  <si>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</si>
  <si>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</si>
  <si>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</si>
  <si>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</si>
  <si>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</si>
  <si>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</si>
  <si>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</si>
  <si>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</si>
  <si>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</si>
  <si>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</si>
  <si>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</si>
  <si>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</si>
  <si>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</si>
  <si>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</si>
  <si>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</si>
  <si>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</si>
  <si>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</si>
  <si>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</si>
  <si>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</si>
  <si>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</si>
  <si>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</si>
  <si>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</si>
  <si>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</si>
  <si>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</si>
  <si>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</si>
  <si>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</si>
  <si>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</si>
  <si>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</si>
  <si>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</si>
  <si>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</si>
  <si>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</si>
  <si>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</si>
  <si>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</si>
  <si>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</si>
  <si>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</si>
  <si>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</si>
  <si>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</si>
  <si>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</si>
  <si>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</si>
  <si>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</si>
  <si>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</si>
  <si>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</si>
  <si>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</si>
  <si>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</si>
  <si>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</si>
  <si>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</si>
  <si>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</si>
  <si>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</si>
  <si>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</si>
  <si>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</si>
  <si>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</si>
  <si>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</si>
  <si>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</si>
  <si>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</si>
  <si>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</si>
  <si>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</si>
  <si>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</si>
  <si>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</si>
  <si>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</si>
  <si>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</si>
  <si>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</si>
  <si>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</si>
  <si>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</si>
  <si>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</si>
  <si>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</si>
  <si>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</si>
  <si>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</si>
  <si>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</si>
  <si>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</si>
  <si>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</si>
  <si>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</si>
  <si>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</si>
  <si>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</si>
  <si>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</si>
  <si>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</si>
  <si>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</si>
  <si>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</si>
  <si>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</si>
  <si>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</si>
  <si>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</si>
  <si>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</si>
  <si>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</si>
  <si>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</si>
  <si>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</si>
  <si>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</si>
  <si>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</si>
  <si>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</si>
  <si>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</si>
  <si>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</si>
  <si>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</si>
  <si>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</si>
  <si>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</si>
  <si>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</si>
  <si>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</si>
  <si>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</si>
  <si>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</si>
  <si>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</si>
  <si>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</si>
  <si>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</si>
  <si>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</si>
  <si>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</si>
  <si>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</si>
  <si>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</si>
  <si>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</si>
  <si>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</si>
  <si>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</si>
  <si>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</si>
  <si>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</si>
  <si>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</si>
  <si>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</si>
  <si>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</si>
  <si>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</si>
  <si>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</si>
  <si>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</si>
  <si>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</si>
  <si>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</si>
  <si>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</si>
  <si>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</si>
  <si>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</si>
  <si>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</si>
  <si>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</si>
  <si>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</si>
  <si>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</si>
  <si>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</si>
  <si>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</si>
  <si>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</si>
  <si>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</si>
  <si>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</si>
  <si>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</si>
  <si>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</si>
  <si>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</si>
  <si>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</si>
  <si>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</si>
  <si>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</si>
  <si>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</si>
  <si>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</si>
  <si>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</si>
  <si>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</si>
  <si>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</si>
  <si>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</si>
  <si>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</si>
  <si>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</si>
  <si>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</si>
  <si>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</si>
  <si>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</si>
  <si>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</si>
  <si>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</si>
  <si>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</si>
  <si>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</si>
  <si>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</si>
  <si>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</si>
  <si>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</si>
  <si>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</si>
  <si>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</si>
  <si>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</si>
  <si>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</si>
  <si>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</si>
  <si>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</si>
  <si>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</si>
  <si>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</si>
  <si>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</si>
  <si>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</si>
  <si>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</si>
  <si>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</si>
  <si>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</si>
  <si>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</si>
  <si>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</si>
  <si>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</si>
  <si>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</si>
  <si>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</si>
  <si>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</si>
  <si>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</si>
  <si>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</si>
  <si>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</si>
  <si>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</si>
  <si>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</si>
  <si>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</si>
  <si>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</si>
  <si>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</si>
  <si>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</si>
  <si>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</si>
  <si>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</si>
  <si>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</si>
  <si>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</si>
  <si>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</si>
  <si>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</si>
  <si>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</si>
  <si>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</si>
  <si>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</si>
  <si>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</si>
  <si>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</si>
  <si>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</si>
  <si>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</si>
  <si>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</si>
  <si>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</si>
  <si>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</si>
  <si>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</si>
  <si>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</si>
  <si>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</si>
  <si>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</si>
  <si>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</si>
  <si>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</si>
  <si>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</si>
  <si>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</si>
  <si>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</si>
  <si>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</si>
  <si>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</si>
  <si>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</si>
  <si>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</si>
  <si>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</si>
  <si>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</si>
  <si>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</si>
  <si>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</si>
  <si>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</si>
  <si>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</si>
  <si>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</si>
  <si>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</si>
  <si>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</si>
  <si>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</si>
  <si>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</si>
  <si>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</si>
  <si>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</si>
  <si>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</si>
  <si>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</si>
  <si>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</si>
  <si>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</si>
  <si>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</si>
  <si>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</si>
  <si>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</si>
  <si>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</si>
  <si>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</si>
  <si>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</si>
  <si>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</si>
  <si>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</si>
  <si>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</si>
  <si>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</si>
  <si>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</si>
  <si>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</si>
  <si>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</si>
  <si>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</si>
  <si>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</si>
  <si>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</si>
  <si>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</si>
  <si>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</si>
  <si>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</si>
  <si>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</si>
  <si>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</si>
  <si>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</si>
  <si>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</si>
  <si>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</si>
  <si>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</si>
  <si>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</si>
  <si>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</si>
  <si>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</si>
  <si>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</si>
  <si>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</si>
  <si>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</si>
  <si>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</si>
  <si>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</si>
  <si>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</si>
  <si>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</si>
  <si>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</si>
  <si>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</si>
  <si>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</si>
  <si>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</si>
  <si>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</si>
  <si>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</si>
  <si>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</si>
  <si>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</si>
  <si>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</si>
  <si>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</si>
  <si>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</si>
  <si>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</si>
  <si>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</si>
  <si>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</si>
  <si>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</si>
  <si>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</si>
  <si>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</si>
  <si>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</si>
  <si>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</si>
  <si>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</si>
  <si>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</si>
  <si>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</si>
  <si>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</si>
  <si>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</si>
  <si>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</si>
  <si>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</si>
  <si>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</si>
  <si>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</si>
  <si>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</si>
  <si>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</si>
  <si>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</si>
  <si>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</si>
  <si>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</si>
  <si>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</si>
  <si>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</si>
  <si>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</si>
  <si>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</si>
  <si>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</si>
  <si>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</si>
  <si>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</si>
  <si>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</si>
  <si>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</si>
  <si>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</si>
  <si>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</si>
  <si>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</si>
  <si>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</si>
  <si>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</si>
  <si>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</si>
  <si>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</si>
  <si>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</si>
  <si>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</si>
  <si>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</si>
  <si>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</si>
  <si>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</si>
  <si>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</si>
  <si>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</si>
  <si>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</si>
  <si>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</si>
  <si>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</si>
  <si>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</si>
  <si>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</si>
  <si>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</si>
  <si>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</si>
  <si>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</si>
  <si>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</si>
  <si>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</si>
  <si>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</si>
  <si>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</si>
  <si>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</si>
  <si>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</si>
  <si>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</si>
  <si>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</si>
  <si>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</si>
  <si>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</si>
  <si>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</si>
  <si>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</si>
  <si>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</si>
  <si>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</si>
  <si>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</si>
  <si>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</si>
  <si>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</si>
  <si>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</si>
  <si>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</si>
  <si>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</si>
  <si>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</si>
  <si>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</si>
  <si>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</si>
  <si>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</si>
  <si>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</si>
  <si>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</si>
  <si>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</si>
  <si>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</si>
  <si>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</si>
  <si>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</si>
  <si>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</si>
  <si>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</si>
  <si>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</si>
  <si>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</si>
  <si>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</si>
  <si>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</si>
  <si>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</si>
  <si>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</si>
  <si>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</si>
  <si>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</si>
  <si>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</si>
  <si>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</si>
  <si>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</si>
  <si>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</si>
  <si>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</si>
  <si>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</si>
  <si>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</si>
  <si>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</si>
  <si>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</si>
  <si>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</si>
  <si>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</si>
  <si>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</si>
  <si>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</si>
  <si>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</si>
  <si>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</si>
  <si>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</si>
  <si>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</si>
  <si>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</si>
  <si>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</si>
  <si>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</si>
  <si>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</si>
  <si>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</si>
  <si>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</si>
  <si>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</si>
  <si>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</si>
  <si>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</si>
  <si>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</si>
  <si>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</si>
  <si>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</si>
  <si>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</si>
  <si>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</si>
  <si>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</si>
  <si>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</si>
  <si>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</si>
  <si>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</si>
  <si>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</si>
  <si>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</si>
  <si>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</si>
  <si>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</si>
  <si>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</si>
  <si>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</si>
  <si>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</si>
  <si>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</si>
  <si>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</si>
  <si>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</si>
  <si>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</si>
  <si>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</si>
  <si>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</si>
  <si>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</si>
  <si>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</si>
  <si>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</si>
  <si>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</si>
  <si>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</si>
  <si>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</si>
  <si>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</si>
  <si>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</si>
  <si>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</si>
  <si>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</si>
  <si>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</si>
  <si>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</si>
  <si>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</si>
  <si>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</si>
  <si>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</si>
  <si>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</si>
  <si>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</si>
  <si>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</si>
  <si>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</si>
  <si>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</si>
  <si>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</si>
  <si>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</si>
  <si>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</si>
  <si>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</si>
  <si>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</si>
  <si>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</si>
  <si>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</si>
  <si>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</si>
  <si>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</si>
  <si>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</si>
  <si>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</si>
  <si>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</si>
  <si>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</si>
  <si>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</si>
  <si>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</si>
  <si>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</si>
  <si>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</si>
  <si>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</si>
  <si>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</si>
  <si>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</si>
  <si>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</si>
  <si>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</si>
  <si>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</si>
  <si>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</si>
  <si>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</si>
  <si>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</si>
  <si>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</si>
  <si>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</si>
  <si>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</si>
  <si>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</si>
  <si>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</si>
  <si>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</si>
  <si>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</si>
  <si>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</si>
  <si>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</si>
  <si>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</si>
  <si>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</si>
  <si>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</si>
  <si>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</si>
  <si>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</si>
  <si>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</si>
  <si>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</si>
  <si>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</si>
  <si>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</si>
  <si>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</si>
  <si>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</si>
  <si>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</si>
  <si>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</si>
  <si>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</si>
  <si>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</si>
  <si>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</si>
  <si>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</si>
  <si>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</si>
  <si>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</si>
  <si>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</si>
  <si>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</si>
  <si>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</si>
  <si>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</si>
  <si>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</si>
  <si>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</si>
  <si>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</si>
  <si>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</si>
  <si>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</si>
  <si>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</si>
  <si>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</si>
  <si>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</si>
  <si>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</si>
  <si>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</si>
  <si>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</si>
  <si>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</si>
  <si>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</si>
  <si>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</si>
  <si>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</si>
  <si>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</si>
  <si>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</si>
  <si>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</si>
  <si>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</si>
  <si>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</si>
  <si>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</si>
  <si>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</si>
  <si>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</si>
  <si>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</si>
  <si>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</si>
  <si>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</si>
  <si>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</si>
  <si>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</si>
  <si>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</si>
  <si>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</si>
  <si>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</si>
  <si>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</si>
  <si>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</si>
  <si>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</si>
  <si>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</si>
  <si>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</si>
  <si>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</si>
  <si>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</si>
  <si>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</si>
  <si>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</si>
  <si>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</si>
  <si>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</si>
  <si>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</si>
  <si>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</si>
  <si>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</si>
  <si>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</si>
  <si>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</si>
  <si>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</si>
  <si>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</si>
  <si>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</si>
  <si>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</si>
  <si>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</si>
  <si>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</si>
  <si>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</si>
  <si>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</si>
  <si>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</si>
  <si>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</si>
  <si>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</si>
  <si>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</si>
  <si>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</si>
  <si>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</si>
  <si>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</si>
  <si>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</si>
  <si>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</si>
  <si>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</si>
  <si>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</si>
  <si>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</si>
  <si>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</si>
  <si>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</si>
  <si>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</si>
  <si>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</si>
  <si>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</si>
  <si>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</si>
  <si>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</si>
  <si>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</si>
  <si>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</si>
  <si>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</si>
  <si>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</si>
  <si>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</si>
  <si>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</si>
  <si>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</si>
  <si>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</si>
  <si>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</si>
  <si>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</si>
  <si>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</si>
  <si>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</si>
  <si>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</si>
  <si>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</si>
  <si>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</si>
  <si>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</si>
  <si>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</si>
  <si>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</si>
  <si>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</si>
  <si>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</si>
  <si>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</si>
  <si>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</si>
  <si>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</si>
  <si>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</si>
  <si>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</si>
  <si>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</si>
  <si>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</si>
  <si>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</si>
  <si>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</si>
  <si>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</si>
  <si>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</si>
  <si>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</si>
  <si>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</si>
  <si>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</si>
  <si>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</si>
  <si>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</si>
  <si>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</si>
  <si>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</si>
  <si>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</si>
  <si>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</si>
  <si>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</si>
  <si>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</si>
  <si>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</si>
  <si>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</si>
  <si>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</si>
  <si>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</si>
  <si>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</si>
  <si>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</si>
  <si>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</si>
  <si>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</si>
  <si>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</si>
  <si>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</si>
  <si>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</si>
  <si>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</si>
  <si>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</si>
  <si>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</si>
  <si>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</si>
  <si>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</si>
  <si>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</si>
  <si>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</si>
  <si>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</si>
  <si>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</si>
  <si>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</si>
  <si>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</si>
  <si>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</si>
  <si>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</si>
  <si>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</si>
  <si>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</si>
  <si>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</si>
  <si>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</si>
  <si>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</si>
  <si>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</si>
  <si>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</si>
  <si>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</si>
  <si>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</si>
  <si>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</si>
  <si>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</si>
  <si>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</si>
  <si>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</si>
  <si>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</si>
  <si>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</si>
  <si>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</si>
  <si>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</si>
  <si>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</si>
  <si>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</si>
  <si>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</si>
  <si>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</si>
  <si>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</si>
  <si>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</si>
  <si>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</si>
  <si>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</si>
  <si>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</si>
  <si>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</si>
  <si>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</si>
  <si>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</si>
  <si>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</si>
  <si>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</si>
  <si>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</si>
  <si>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</si>
  <si>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</si>
  <si>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</si>
  <si>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</si>
  <si>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</si>
  <si>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</si>
  <si>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</si>
  <si>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</si>
  <si>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</si>
  <si>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</si>
  <si>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</si>
  <si>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</si>
  <si>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</si>
  <si>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</si>
  <si>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</si>
  <si>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</si>
  <si>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</si>
  <si>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</si>
  <si>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</si>
  <si>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</si>
  <si>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</si>
  <si>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</si>
  <si>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</si>
  <si>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</si>
  <si>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</si>
  <si>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</si>
  <si>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</si>
  <si>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</si>
  <si>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</si>
  <si>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</si>
  <si>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</si>
  <si>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</si>
  <si>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</si>
  <si>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</si>
  <si>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</si>
  <si>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</si>
  <si>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</si>
  <si>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</si>
  <si>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</si>
  <si>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</si>
  <si>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</si>
  <si>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</si>
  <si>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</si>
  <si>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</si>
  <si>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</si>
  <si>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</si>
  <si>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</si>
  <si>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</si>
  <si>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</si>
  <si>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</si>
  <si>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</si>
  <si>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</si>
  <si>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</si>
  <si>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</si>
  <si>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</si>
  <si>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</si>
  <si>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</si>
  <si>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</si>
  <si>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</si>
  <si>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</si>
  <si>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</si>
  <si>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</si>
  <si>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</si>
  <si>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</si>
  <si>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</si>
  <si>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</si>
  <si>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</si>
  <si>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</si>
  <si>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</si>
  <si>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</si>
  <si>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</si>
  <si>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</si>
  <si>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</si>
  <si>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</si>
  <si>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</si>
  <si>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</si>
  <si>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</si>
  <si>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</si>
  <si>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</si>
  <si>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</si>
  <si>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</si>
  <si>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</si>
  <si>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</si>
  <si>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</si>
  <si>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</si>
  <si>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</si>
  <si>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</si>
  <si>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</si>
  <si>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</si>
  <si>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</si>
  <si>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</si>
  <si>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</si>
  <si>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</si>
  <si>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</si>
  <si>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</si>
  <si>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</si>
  <si>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</si>
  <si>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</si>
  <si>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</si>
  <si>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</si>
  <si>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</si>
  <si>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</si>
  <si>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</si>
  <si>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</si>
  <si>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</si>
  <si>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</si>
  <si>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</si>
  <si>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</si>
  <si>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</si>
  <si>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</si>
  <si>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</si>
  <si>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</si>
  <si>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</si>
  <si>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</si>
  <si>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</si>
  <si>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</si>
  <si>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</si>
  <si>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</si>
  <si>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</si>
  <si>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</si>
  <si>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</si>
  <si>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</si>
  <si>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</si>
  <si>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</si>
  <si>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</si>
  <si>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</si>
  <si>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</si>
  <si>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</si>
  <si>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</si>
  <si>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</si>
  <si>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</si>
  <si>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</si>
  <si>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</si>
  <si>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</si>
  <si>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</si>
  <si>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</si>
  <si>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</si>
  <si>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</si>
  <si>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</si>
  <si>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</si>
  <si>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</si>
  <si>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</si>
  <si>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</si>
  <si>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</si>
  <si>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</si>
  <si>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</si>
  <si>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</si>
  <si>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</si>
  <si>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</si>
  <si>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</si>
  <si>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</si>
  <si>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</si>
  <si>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</si>
  <si>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</si>
  <si>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</si>
  <si>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</si>
  <si>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</si>
  <si>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</si>
  <si>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</si>
  <si>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</si>
  <si>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</si>
  <si>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</si>
  <si>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</si>
  <si>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</si>
  <si>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</si>
  <si>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</si>
  <si>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</si>
  <si>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</si>
  <si>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</si>
  <si>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</si>
  <si>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</si>
  <si>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</si>
  <si>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</si>
  <si>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</si>
  <si>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</si>
  <si>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</si>
  <si>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</si>
  <si>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</si>
  <si>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</si>
  <si>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</si>
  <si>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</si>
  <si>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</si>
  <si>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</si>
  <si>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</si>
  <si>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</si>
  <si>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</si>
  <si>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</si>
  <si>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</si>
  <si>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</si>
  <si>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</si>
  <si>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</si>
  <si>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</si>
  <si>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</si>
  <si>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</si>
  <si>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</si>
  <si>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</si>
  <si>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</si>
  <si>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</si>
  <si>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</si>
  <si>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</si>
  <si>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</si>
  <si>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</si>
  <si>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</si>
  <si>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</si>
  <si>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</si>
  <si>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</si>
  <si>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</si>
  <si>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</si>
  <si>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</si>
  <si>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</si>
  <si>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</si>
  <si>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</si>
  <si>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</si>
  <si>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</si>
  <si>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</si>
  <si>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</si>
  <si>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</si>
  <si>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</si>
  <si>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</si>
  <si>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</si>
  <si>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</si>
  <si>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</si>
  <si>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</si>
  <si>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</si>
  <si>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</si>
  <si>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</si>
  <si>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</si>
  <si>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</si>
  <si>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</si>
  <si>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</si>
  <si>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</si>
  <si>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</si>
  <si>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</si>
  <si>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</si>
  <si>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</si>
  <si>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</si>
  <si>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</si>
  <si>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</si>
  <si>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</si>
  <si>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</si>
  <si>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</si>
  <si>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</si>
  <si>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</si>
  <si>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</si>
  <si>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</si>
  <si>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</si>
  <si>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</si>
  <si>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</si>
  <si>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</si>
  <si>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</si>
  <si>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</si>
  <si>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</si>
  <si>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</si>
  <si>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</si>
  <si>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</si>
  <si>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</si>
  <si>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</si>
  <si>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</si>
  <si>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</si>
  <si>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</si>
  <si>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</si>
  <si>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</si>
  <si>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</si>
  <si>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</si>
  <si>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</si>
  <si>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</si>
  <si>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</si>
  <si>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</si>
  <si>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</si>
  <si>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</si>
  <si>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</si>
  <si>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</si>
  <si>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</si>
  <si>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</si>
  <si>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</si>
  <si>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</si>
  <si>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</si>
  <si>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</si>
  <si>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</si>
  <si>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</si>
  <si>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</si>
  <si>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</si>
  <si>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</si>
  <si>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</si>
  <si>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</si>
  <si>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</si>
  <si>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</si>
  <si>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</si>
  <si>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</si>
  <si>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</si>
  <si>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</si>
  <si>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</si>
  <si>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</si>
  <si>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</si>
  <si>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</si>
  <si>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</si>
  <si>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</si>
  <si>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</si>
  <si>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</si>
  <si>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</si>
  <si>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</si>
  <si>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</si>
  <si>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</si>
  <si>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</si>
  <si>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</si>
  <si>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</si>
  <si>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</si>
  <si>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</si>
  <si>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</si>
  <si>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</si>
  <si>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</si>
  <si>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</si>
  <si>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</si>
  <si>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</si>
  <si>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</si>
  <si>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</si>
  <si>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</si>
  <si>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</si>
  <si>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</si>
  <si>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</si>
  <si>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</si>
  <si>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</si>
  <si>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</si>
  <si>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</si>
  <si>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</si>
  <si>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</si>
  <si>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</si>
  <si>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</si>
  <si>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</si>
  <si>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</si>
  <si>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</si>
  <si>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</si>
  <si>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</si>
  <si>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</si>
  <si>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</si>
  <si>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</si>
  <si>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</si>
  <si>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</si>
  <si>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</si>
  <si>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</si>
  <si>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</si>
  <si>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</si>
  <si>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</si>
  <si>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</si>
  <si>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</si>
  <si>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</si>
  <si>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</si>
  <si>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</si>
  <si>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</si>
  <si>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</si>
  <si>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</si>
  <si>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</si>
  <si>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</si>
  <si>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</si>
  <si>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</si>
  <si>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</si>
  <si>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</si>
  <si>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</si>
  <si>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</si>
  <si>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</si>
  <si>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</si>
  <si>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</si>
  <si>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</si>
  <si>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</si>
  <si>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</si>
  <si>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</si>
  <si>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</si>
  <si>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</si>
  <si>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</si>
  <si>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</si>
  <si>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</si>
  <si>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</si>
  <si>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</si>
  <si>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</si>
  <si>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</si>
  <si>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</si>
  <si>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</si>
  <si>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</si>
  <si>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</si>
  <si>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</si>
  <si>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</si>
  <si>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</si>
  <si>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</si>
  <si>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</si>
  <si>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</si>
  <si>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</si>
  <si>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</si>
  <si>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</si>
  <si>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</si>
  <si>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</si>
  <si>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</si>
  <si>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</si>
  <si>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</si>
  <si>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</si>
  <si>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</si>
  <si>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</si>
  <si>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</si>
  <si>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</si>
  <si>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</si>
  <si>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</si>
  <si>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</si>
  <si>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</si>
  <si>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</si>
  <si>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</si>
  <si>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</si>
  <si>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</si>
  <si>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</si>
  <si>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</si>
  <si>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</si>
  <si>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</si>
  <si>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</si>
  <si>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</si>
  <si>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</si>
  <si>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</si>
  <si>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</si>
  <si>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</si>
  <si>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</si>
  <si>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</si>
  <si>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</si>
  <si>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</si>
  <si>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</si>
  <si>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</si>
  <si>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</si>
  <si>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</si>
  <si>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</si>
  <si>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</si>
  <si>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</si>
  <si>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</si>
  <si>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</si>
  <si>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</si>
  <si>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</si>
  <si>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</si>
  <si>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</si>
  <si>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</si>
  <si>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</si>
  <si>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</si>
  <si>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</si>
  <si>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</si>
  <si>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</si>
  <si>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</si>
  <si>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</si>
  <si>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</si>
  <si>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</si>
  <si>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</si>
  <si>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</si>
  <si>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</si>
  <si>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</si>
  <si>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</si>
  <si>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</si>
  <si>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</si>
  <si>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</si>
  <si>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</si>
  <si>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</si>
  <si>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</si>
  <si>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</si>
  <si>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</si>
  <si>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</si>
  <si>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</si>
  <si>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</si>
  <si>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</si>
  <si>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</si>
  <si>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</si>
  <si>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</si>
  <si>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</si>
  <si>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</si>
  <si>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</si>
  <si>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</si>
  <si>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</si>
  <si>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</si>
  <si>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</si>
  <si>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</si>
  <si>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</si>
  <si>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</si>
  <si>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</si>
  <si>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</si>
  <si>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</si>
  <si>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</si>
  <si>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</si>
  <si>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</si>
  <si>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</si>
  <si>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</si>
  <si>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</si>
  <si>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</si>
  <si>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</si>
  <si>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</si>
  <si>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</si>
  <si>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</si>
  <si>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</si>
  <si>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</si>
  <si>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</si>
  <si>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</si>
  <si>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</si>
  <si>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</si>
  <si>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</si>
  <si>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</si>
  <si>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</si>
  <si>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</si>
  <si>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</si>
  <si>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</si>
  <si>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</si>
  <si>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</si>
  <si>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</si>
  <si>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</si>
  <si>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</si>
  <si>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</si>
  <si>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</si>
  <si>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</si>
  <si>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</si>
  <si>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</si>
  <si>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</si>
  <si>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</si>
  <si>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</si>
  <si>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</si>
  <si>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</si>
  <si>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</si>
  <si>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</si>
  <si>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</si>
  <si>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</si>
  <si>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</si>
  <si>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</si>
  <si>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</si>
  <si>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</si>
  <si>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</si>
  <si>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</si>
  <si>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</si>
  <si>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</si>
  <si>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</si>
  <si>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</si>
  <si>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</si>
  <si>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</si>
  <si>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</si>
  <si>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</si>
  <si>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</si>
  <si>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</si>
  <si>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</si>
  <si>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</si>
  <si>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</si>
  <si>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</si>
  <si>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</si>
  <si>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</si>
  <si>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</si>
  <si>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</si>
  <si>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</si>
  <si>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</si>
  <si>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</si>
  <si>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</si>
  <si>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</si>
  <si>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</si>
  <si>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</si>
  <si>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</si>
  <si>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</si>
  <si>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</si>
  <si>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</si>
  <si>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</si>
  <si>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</si>
  <si>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</si>
  <si>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</si>
  <si>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</si>
  <si>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</si>
  <si>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</si>
  <si>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</si>
  <si>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</si>
  <si>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</si>
  <si>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</si>
  <si>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</si>
  <si>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</si>
  <si>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</si>
  <si>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</si>
  <si>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</si>
  <si>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</si>
  <si>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</si>
  <si>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</si>
  <si>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</si>
  <si>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</si>
  <si>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</si>
  <si>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</si>
  <si>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</si>
  <si>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</si>
  <si>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</si>
  <si>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</si>
  <si>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</si>
  <si>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</si>
  <si>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</si>
  <si>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</si>
  <si>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</si>
  <si>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</si>
  <si>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</si>
  <si>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</si>
  <si>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</si>
  <si>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</si>
  <si>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</si>
  <si>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</si>
  <si>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</si>
  <si>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</si>
  <si>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</si>
  <si>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</si>
  <si>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</si>
  <si>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</si>
  <si>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</si>
  <si>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</si>
  <si>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</si>
  <si>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</si>
  <si>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</si>
  <si>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</si>
  <si>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</si>
  <si>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</si>
  <si>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</si>
  <si>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</si>
  <si>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</si>
  <si>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</si>
  <si>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</si>
  <si>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</si>
  <si>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</si>
  <si>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</si>
  <si>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</si>
  <si>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</si>
  <si>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</si>
  <si>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</si>
  <si>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</si>
  <si>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</si>
  <si>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</si>
  <si>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</si>
  <si>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</si>
  <si>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</si>
  <si>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</si>
  <si>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</si>
  <si>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</si>
  <si>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</si>
  <si>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</si>
  <si>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</si>
  <si>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</si>
  <si>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</si>
  <si>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</si>
  <si>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</si>
  <si>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</si>
  <si>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</si>
  <si>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</si>
  <si>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</si>
  <si>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</si>
  <si>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</si>
  <si>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</si>
  <si>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</si>
  <si>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</si>
  <si>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</si>
  <si>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</si>
  <si>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</si>
  <si>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</si>
  <si>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</si>
  <si>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</si>
  <si>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</si>
  <si>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</si>
  <si>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</si>
  <si>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</si>
  <si>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</si>
  <si>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</si>
  <si>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</si>
  <si>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</si>
  <si>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</si>
  <si>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</si>
  <si>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</si>
  <si>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</si>
  <si>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</si>
  <si>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</si>
  <si>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</si>
  <si>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</si>
  <si>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</si>
  <si>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</si>
  <si>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</si>
  <si>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</si>
  <si>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</si>
  <si>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</si>
  <si>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</si>
  <si>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</si>
  <si>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</si>
  <si>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</si>
  <si>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</si>
  <si>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</si>
  <si>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</si>
  <si>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</si>
  <si>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</si>
  <si>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</si>
  <si>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</si>
  <si>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</si>
  <si>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</si>
  <si>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</si>
  <si>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</si>
  <si>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</si>
  <si>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</si>
  <si>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</si>
  <si>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</si>
  <si>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</si>
  <si>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</si>
  <si>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</si>
  <si>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</si>
  <si>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</si>
  <si>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</si>
  <si>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</si>
  <si>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</si>
  <si>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</si>
  <si>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</si>
  <si>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</si>
  <si>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</si>
  <si>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</si>
  <si>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</si>
  <si>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</si>
  <si>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</si>
  <si>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</si>
  <si>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</si>
  <si>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</si>
  <si>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</si>
  <si>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</si>
  <si>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</si>
  <si>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</si>
  <si>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</si>
  <si>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</si>
  <si>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</si>
  <si>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</si>
  <si>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</si>
  <si>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</si>
  <si>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</si>
  <si>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</si>
  <si>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</si>
  <si>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</si>
  <si>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</si>
  <si>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</si>
  <si>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</si>
  <si>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</si>
  <si>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</si>
  <si>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</si>
  <si>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</si>
  <si>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</si>
  <si>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</si>
  <si>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</si>
  <si>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</si>
  <si>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</si>
  <si>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</si>
  <si>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</si>
  <si>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</si>
  <si>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</si>
  <si>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</si>
  <si>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</si>
  <si>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</si>
  <si>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</si>
  <si>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</si>
  <si>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</si>
  <si>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</si>
  <si>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</si>
  <si>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</si>
  <si>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</si>
  <si>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</si>
  <si>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</si>
  <si>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</si>
  <si>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</si>
  <si>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</si>
  <si>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</si>
  <si>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</si>
  <si>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</si>
  <si>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</si>
  <si>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</si>
  <si>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</si>
  <si>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</si>
  <si>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</si>
  <si>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</si>
  <si>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</si>
  <si>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</si>
  <si>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</si>
  <si>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</si>
  <si>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</si>
  <si>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</si>
  <si>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</si>
  <si>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</si>
  <si>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</si>
  <si>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</si>
  <si>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</si>
  <si>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</si>
  <si>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</si>
  <si>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</si>
  <si>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</si>
  <si>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</si>
  <si>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</si>
  <si>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</si>
  <si>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</si>
  <si>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</si>
  <si>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</si>
  <si>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</si>
  <si>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</si>
  <si>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</si>
  <si>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</si>
  <si>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</si>
  <si>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</si>
  <si>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</si>
  <si>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</si>
  <si>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</si>
  <si>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</si>
  <si>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</si>
  <si>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</si>
  <si>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</si>
  <si>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</si>
  <si>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</si>
  <si>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</si>
  <si>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</si>
  <si>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</si>
  <si>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</si>
  <si>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</si>
  <si>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</si>
  <si>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</si>
  <si>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</si>
  <si>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</si>
  <si>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</si>
  <si>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</si>
  <si>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</si>
  <si>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</si>
  <si>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</si>
  <si>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</si>
  <si>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</si>
  <si>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</si>
  <si>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</si>
  <si>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</si>
  <si>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</si>
  <si>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</si>
  <si>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</si>
  <si>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</si>
  <si>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</si>
  <si>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</si>
  <si>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</si>
  <si>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</si>
  <si>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</si>
  <si>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</si>
  <si>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</si>
  <si>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</si>
  <si>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</si>
  <si>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</si>
  <si>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</si>
  <si>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</si>
  <si>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</si>
  <si>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</si>
  <si>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</si>
  <si>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</si>
  <si>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</si>
  <si>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</si>
  <si>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</si>
  <si>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</si>
  <si>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</si>
  <si>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</si>
  <si>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</si>
  <si>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</si>
  <si>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</si>
  <si>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</si>
  <si>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</si>
  <si>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</si>
  <si>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</si>
  <si>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</si>
  <si>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</si>
  <si>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</si>
  <si>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</si>
  <si>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</si>
  <si>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</si>
  <si>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</si>
  <si>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</si>
  <si>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</si>
  <si>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</si>
  <si>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</si>
  <si>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</si>
  <si>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</si>
  <si>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</si>
  <si>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</si>
  <si>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</si>
  <si>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</si>
  <si>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</si>
  <si>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</si>
  <si>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</si>
  <si>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</si>
  <si>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</si>
  <si>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</si>
  <si>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</si>
  <si>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</si>
  <si>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</si>
  <si>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</si>
  <si>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</si>
  <si>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</si>
  <si>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</si>
  <si>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</si>
  <si>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</si>
  <si>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</si>
  <si>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</si>
  <si>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</si>
  <si>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</si>
  <si>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</si>
  <si>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</si>
  <si>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</si>
  <si>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</si>
  <si>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</si>
  <si>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</si>
  <si>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</si>
  <si>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</si>
  <si>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</si>
  <si>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</si>
  <si>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</si>
  <si>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</si>
  <si>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</si>
  <si>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</si>
  <si>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</si>
  <si>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</si>
  <si>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</si>
  <si>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</si>
  <si>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</si>
  <si>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</si>
  <si>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</si>
  <si>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</si>
  <si>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</si>
  <si>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</si>
  <si>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</si>
  <si>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</si>
  <si>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</si>
  <si>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</si>
  <si>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</si>
  <si>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</si>
  <si>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</si>
  <si>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</si>
  <si>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</si>
  <si>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</si>
  <si>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</si>
  <si>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</si>
  <si>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</si>
  <si>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</si>
  <si>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</si>
  <si>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</si>
  <si>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</si>
  <si>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</si>
  <si>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</si>
  <si>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</si>
  <si>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</si>
  <si>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</si>
  <si>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</si>
  <si>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</si>
  <si>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</si>
  <si>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</si>
  <si>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</si>
  <si>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</si>
  <si>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</si>
  <si>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</si>
  <si>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</si>
  <si>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</si>
  <si>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</si>
  <si>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</si>
  <si>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</si>
  <si>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</si>
  <si>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</si>
  <si>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</si>
  <si>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</si>
  <si>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</si>
  <si>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</si>
  <si>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</si>
  <si>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</si>
  <si>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</si>
  <si>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</si>
  <si>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</si>
  <si>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</si>
  <si>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</si>
  <si>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</si>
  <si>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</si>
  <si>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</si>
  <si>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</si>
  <si>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</si>
  <si>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</si>
  <si>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</si>
  <si>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</si>
  <si>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</si>
  <si>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</si>
  <si>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</si>
  <si>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</si>
  <si>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</si>
  <si>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</si>
  <si>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</si>
  <si>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</si>
  <si>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</si>
  <si>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</si>
  <si>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</si>
  <si>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</si>
  <si>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</si>
  <si>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</si>
  <si>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</si>
  <si>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</si>
  <si>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</si>
  <si>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</si>
  <si>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</si>
  <si>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</si>
  <si>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</si>
  <si>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</si>
  <si>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</si>
  <si>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</si>
  <si>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</si>
  <si>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</si>
  <si>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</si>
  <si>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</si>
  <si>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</si>
  <si>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</si>
  <si>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</si>
  <si>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</si>
  <si>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</si>
  <si>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</si>
  <si>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</si>
  <si>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</si>
  <si>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</si>
  <si>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</si>
  <si>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</si>
  <si>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</si>
  <si>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</si>
  <si>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</si>
  <si>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</si>
  <si>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</si>
  <si>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</si>
  <si>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</si>
  <si>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</si>
  <si>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</si>
  <si>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</si>
  <si>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</si>
  <si>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</si>
  <si>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</si>
  <si>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</si>
  <si>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</si>
  <si>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</si>
  <si>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</si>
  <si>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</si>
  <si>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</si>
  <si>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</si>
  <si>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</si>
  <si>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</si>
  <si>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</si>
  <si>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</si>
  <si>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</si>
  <si>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</si>
  <si>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</si>
  <si>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</si>
  <si>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</si>
  <si>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</si>
  <si>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</si>
  <si>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</si>
  <si>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</si>
  <si>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</si>
  <si>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</si>
  <si>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</si>
  <si>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</si>
  <si>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</si>
  <si>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</si>
  <si>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</si>
  <si>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</si>
  <si>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</si>
  <si>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</si>
  <si>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</si>
  <si>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</si>
  <si>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</si>
  <si>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</si>
  <si>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</si>
  <si>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</si>
  <si>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</si>
  <si>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</si>
  <si>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</si>
  <si>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</si>
  <si>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</si>
  <si>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</si>
  <si>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</si>
  <si>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</si>
  <si>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</si>
  <si>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</si>
  <si>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</si>
  <si>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</si>
  <si>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</si>
  <si>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</si>
  <si>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</si>
  <si>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</si>
  <si>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</si>
  <si>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</si>
  <si>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</si>
  <si>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</si>
  <si>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</si>
  <si>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</si>
  <si>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</si>
  <si>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</si>
  <si>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</si>
  <si>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</si>
  <si>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</si>
  <si>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</si>
  <si>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</si>
  <si>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</si>
  <si>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</si>
  <si>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</si>
  <si>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</si>
  <si>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</si>
  <si>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</si>
  <si>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</si>
  <si>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</si>
  <si>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</si>
  <si>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</si>
  <si>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</si>
  <si>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</si>
  <si>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</si>
  <si>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</si>
  <si>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</si>
  <si>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</si>
  <si>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</si>
  <si>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</si>
  <si>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</si>
  <si>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</si>
  <si>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</si>
  <si>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</si>
  <si>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</si>
  <si>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</si>
  <si>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</si>
  <si>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</si>
  <si>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</si>
  <si>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</si>
  <si>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</si>
  <si>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</si>
  <si>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</si>
  <si>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</si>
  <si>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</si>
  <si>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</si>
  <si>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</si>
  <si>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</si>
  <si>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</si>
  <si>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</si>
  <si>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</si>
  <si>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</si>
  <si>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</si>
  <si>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</si>
  <si>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</si>
  <si>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</si>
  <si>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</si>
  <si>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</si>
  <si>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</si>
  <si>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</si>
  <si>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</si>
  <si>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</si>
  <si>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</si>
  <si>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</si>
  <si>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</si>
  <si>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</si>
  <si>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</si>
  <si>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</si>
  <si>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</si>
  <si>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</si>
  <si>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</si>
  <si>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</si>
  <si>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</si>
  <si>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</si>
  <si>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</si>
  <si>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</si>
  <si>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</si>
  <si>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</si>
  <si>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</si>
  <si>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</si>
  <si>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</si>
  <si>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</si>
  <si>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</si>
  <si>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</si>
  <si>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</si>
  <si>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</si>
  <si>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</si>
  <si>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</si>
  <si>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</si>
  <si>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</si>
  <si>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</si>
  <si>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</si>
  <si>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</si>
  <si>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</si>
  <si>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</si>
  <si>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</si>
  <si>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</si>
  <si>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</si>
  <si>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</si>
  <si>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</si>
  <si>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</si>
  <si>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</si>
  <si>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</si>
  <si>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</si>
  <si>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</si>
  <si>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</si>
  <si>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</si>
  <si>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</si>
  <si>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</si>
  <si>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</si>
  <si>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</si>
  <si>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</si>
  <si>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</si>
  <si>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</si>
  <si>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</si>
  <si>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</si>
  <si>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</si>
  <si>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</si>
  <si>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</si>
  <si>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</si>
  <si>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</si>
  <si>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</si>
  <si>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</si>
  <si>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</si>
  <si>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</si>
  <si>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</si>
  <si>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</si>
  <si>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</si>
  <si>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</si>
  <si>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</si>
  <si>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</si>
  <si>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</si>
  <si>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</si>
  <si>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</si>
  <si>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</si>
  <si>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</si>
  <si>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</si>
  <si>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</si>
  <si>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</si>
  <si>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</si>
  <si>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</si>
  <si>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</si>
  <si>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</si>
  <si>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</si>
  <si>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</si>
  <si>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</si>
  <si>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</si>
  <si>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</si>
  <si>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</si>
  <si>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</si>
  <si>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</si>
  <si>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</si>
  <si>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</si>
  <si>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</si>
  <si>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</si>
  <si>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</si>
  <si>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</si>
  <si>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</si>
  <si>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</si>
  <si>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</si>
  <si>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</si>
  <si>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</si>
  <si>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</si>
  <si>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</si>
  <si>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</si>
  <si>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</si>
  <si>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</si>
  <si>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</si>
  <si>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</si>
  <si>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</si>
  <si>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</si>
  <si>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</si>
  <si>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</si>
  <si>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</si>
  <si>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</si>
  <si>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</si>
  <si>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</si>
  <si>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</si>
  <si>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</si>
  <si>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</si>
  <si>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</si>
  <si>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</si>
  <si>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</si>
  <si>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</si>
  <si>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</si>
  <si>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</si>
  <si>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</si>
  <si>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</si>
  <si>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</si>
  <si>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</si>
  <si>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</si>
  <si>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</si>
  <si>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</si>
  <si>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</si>
  <si>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</si>
  <si>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</si>
  <si>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</si>
  <si>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</si>
  <si>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</si>
  <si>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</si>
  <si>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</si>
  <si>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</si>
  <si>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</si>
  <si>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</si>
  <si>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</si>
  <si>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</si>
  <si>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</si>
  <si>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</si>
  <si>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</si>
  <si>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</si>
  <si>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</si>
  <si>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</si>
  <si>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</si>
  <si>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</si>
  <si>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</si>
  <si>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</si>
  <si>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</si>
  <si>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</si>
  <si>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</si>
  <si>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</si>
  <si>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</si>
  <si>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</si>
  <si>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</si>
  <si>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</si>
  <si>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</si>
  <si>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</si>
  <si>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</si>
  <si>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</si>
  <si>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</si>
  <si>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</si>
  <si>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</si>
  <si>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</si>
  <si>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</si>
  <si>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</si>
  <si>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</si>
  <si>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</si>
  <si>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</si>
  <si>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</si>
  <si>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</si>
  <si>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</si>
  <si>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</si>
  <si>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</si>
  <si>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</si>
  <si>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</si>
  <si>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</si>
  <si>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</si>
  <si>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</si>
  <si>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</si>
  <si>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</si>
  <si>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</si>
  <si>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</si>
  <si>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</si>
  <si>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</si>
  <si>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</si>
  <si>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</si>
  <si>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</si>
  <si>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</si>
  <si>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</si>
  <si>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</si>
  <si>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</si>
  <si>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</si>
  <si>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</si>
  <si>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</si>
  <si>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</si>
  <si>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</si>
  <si>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</si>
  <si>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</si>
  <si>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</si>
  <si>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</si>
  <si>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</si>
  <si>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</si>
  <si>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</si>
  <si>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</si>
  <si>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</si>
  <si>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</si>
  <si>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</si>
  <si>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</si>
  <si>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</si>
  <si>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</si>
  <si>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</si>
  <si>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</si>
  <si>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</si>
  <si>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</si>
  <si>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</si>
  <si>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</si>
  <si>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</si>
  <si>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</si>
  <si>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</si>
  <si>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</si>
  <si>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</si>
  <si>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</si>
  <si>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</si>
  <si>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</si>
  <si>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</si>
  <si>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</si>
  <si>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</si>
  <si>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</si>
  <si>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</si>
  <si>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</si>
  <si>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</si>
  <si>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</si>
  <si>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</si>
  <si>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</si>
  <si>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</si>
  <si>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</si>
  <si>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</si>
  <si>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</si>
  <si>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</si>
  <si>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</si>
  <si>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</si>
  <si>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</si>
  <si>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</si>
  <si>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</si>
  <si>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</si>
  <si>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</si>
  <si>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</si>
  <si>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</si>
  <si>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</si>
  <si>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</si>
  <si>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</si>
  <si>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</si>
  <si>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</si>
  <si>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</si>
  <si>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</si>
  <si>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</si>
  <si>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</si>
  <si>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</si>
  <si>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</si>
  <si>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</si>
  <si>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</si>
  <si>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</si>
  <si>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</si>
  <si>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</si>
  <si>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</si>
  <si>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</si>
  <si>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</si>
  <si>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</si>
  <si>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</si>
  <si>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</si>
  <si>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</si>
  <si>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</si>
  <si>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</si>
  <si>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</si>
  <si>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</si>
  <si>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</si>
  <si>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</si>
  <si>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</si>
  <si>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</si>
  <si>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</si>
  <si>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</si>
  <si>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</si>
  <si>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</si>
  <si>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</si>
  <si>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</si>
  <si>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</si>
  <si>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</si>
  <si>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</si>
  <si>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</si>
  <si>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</si>
  <si>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</si>
  <si>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</si>
  <si>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</si>
  <si>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</si>
  <si>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</si>
  <si>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</si>
  <si>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</si>
  <si>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</si>
  <si>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</si>
  <si>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</si>
  <si>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</si>
  <si>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</si>
  <si>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</si>
  <si>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</si>
  <si>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</si>
  <si>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</si>
  <si>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</si>
  <si>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</si>
  <si>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</si>
  <si>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</si>
  <si>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</si>
  <si>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</si>
  <si>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</si>
  <si>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</si>
  <si>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</si>
  <si>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</si>
  <si>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</si>
  <si>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</si>
  <si>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</si>
  <si>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</si>
  <si>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</si>
  <si>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</si>
  <si>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</si>
  <si>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</si>
  <si>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</si>
  <si>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</si>
  <si>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</si>
  <si>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</si>
  <si>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</si>
  <si>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</si>
  <si>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</si>
  <si>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</si>
  <si>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</si>
  <si>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</si>
  <si>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</si>
  <si>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</si>
  <si>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</si>
  <si>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</si>
  <si>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</si>
  <si>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</si>
  <si>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</si>
  <si>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</si>
  <si>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</si>
  <si>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</si>
  <si>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</si>
  <si>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</si>
  <si>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</si>
  <si>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</si>
  <si>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</si>
  <si>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</si>
  <si>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</si>
  <si>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</si>
  <si>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</si>
  <si>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</si>
  <si>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</si>
  <si>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</si>
  <si>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</si>
  <si>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</si>
  <si>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</si>
  <si>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</si>
  <si>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</si>
  <si>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</si>
  <si>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</si>
  <si>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</si>
  <si>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</si>
  <si>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</si>
  <si>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</si>
  <si>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</si>
  <si>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</si>
  <si>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</si>
  <si>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</si>
  <si>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</si>
  <si>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</si>
  <si>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</si>
  <si>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</si>
  <si>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</si>
  <si>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</si>
  <si>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</si>
  <si>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</si>
  <si>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</si>
  <si>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</si>
  <si>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</si>
  <si>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</si>
  <si>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</si>
  <si>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</si>
  <si>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</si>
  <si>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</si>
  <si>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</si>
  <si>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</si>
  <si>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</si>
  <si>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</si>
  <si>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</si>
  <si>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</si>
  <si>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</si>
  <si>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</si>
  <si>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</si>
  <si>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</si>
  <si>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</si>
  <si>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</si>
  <si>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</si>
  <si>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</si>
  <si>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</si>
  <si>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</si>
  <si>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</si>
  <si>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</si>
  <si>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</si>
  <si>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</si>
  <si>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</si>
  <si>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</si>
  <si>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</si>
  <si>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</si>
  <si>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</si>
  <si>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</si>
  <si>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</si>
  <si>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</si>
  <si>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</si>
  <si>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</si>
  <si>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</si>
  <si>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</si>
  <si>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</si>
  <si>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</si>
  <si>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</si>
  <si>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</si>
  <si>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</si>
  <si>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</si>
  <si>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</si>
  <si>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</si>
  <si>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</si>
  <si>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</si>
  <si>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</si>
  <si>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</si>
  <si>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</si>
  <si>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</si>
  <si>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</si>
  <si>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</si>
  <si>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</si>
  <si>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</si>
  <si>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</si>
  <si>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</si>
  <si>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</si>
  <si>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</si>
  <si>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</si>
  <si>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</si>
  <si>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</si>
  <si>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</si>
  <si>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</si>
  <si>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</si>
  <si>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</si>
  <si>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</si>
  <si>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</si>
  <si>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</si>
  <si>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</si>
  <si>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</si>
  <si>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</si>
  <si>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</si>
  <si>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</si>
  <si>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</si>
  <si>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</si>
  <si>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</si>
  <si>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</si>
  <si>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</si>
  <si>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</si>
  <si>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</si>
  <si>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</si>
  <si>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</si>
  <si>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</si>
  <si>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</si>
  <si>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</si>
  <si>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</si>
  <si>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</si>
  <si>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</si>
  <si>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</si>
  <si>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</si>
  <si>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</si>
  <si>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</si>
  <si>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</si>
  <si>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</si>
  <si>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</si>
  <si>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</si>
  <si>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</si>
  <si>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</si>
  <si>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</si>
  <si>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</si>
  <si>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</si>
  <si>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</si>
  <si>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</si>
  <si>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</si>
  <si>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</si>
  <si>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</si>
  <si>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</si>
  <si>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</si>
  <si>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</si>
  <si>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</si>
  <si>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</si>
  <si>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</si>
  <si>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</si>
  <si>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</si>
  <si>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</si>
  <si>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</si>
  <si>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</si>
  <si>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</si>
  <si>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</si>
  <si>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</si>
  <si>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</si>
  <si>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</si>
  <si>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</si>
  <si>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</si>
  <si>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</si>
  <si>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</si>
  <si>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</si>
  <si>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</si>
  <si>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</si>
  <si>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</si>
  <si>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</si>
  <si>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</si>
  <si>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</si>
  <si>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</si>
  <si>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</si>
  <si>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</si>
  <si>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</si>
  <si>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</si>
  <si>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</si>
  <si>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</si>
  <si>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</si>
  <si>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</si>
  <si>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</si>
  <si>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</si>
  <si>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</si>
  <si>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</si>
  <si>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</si>
  <si>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</si>
  <si>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</si>
  <si>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</si>
  <si>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</si>
  <si>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</si>
  <si>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</si>
  <si>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</si>
  <si>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</si>
  <si>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</si>
  <si>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</si>
  <si>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</si>
  <si>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</si>
  <si>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</si>
  <si>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</si>
  <si>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</si>
  <si>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</si>
  <si>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</si>
  <si>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</si>
  <si>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</si>
  <si>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</si>
  <si>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</si>
  <si>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</si>
  <si>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</si>
  <si>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</si>
  <si>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</si>
  <si>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</si>
  <si>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</si>
  <si>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</si>
  <si>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</si>
  <si>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</si>
  <si>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</si>
  <si>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</si>
  <si>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</si>
  <si>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</si>
  <si>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</si>
  <si>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</si>
  <si>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</si>
  <si>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</si>
  <si>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</si>
  <si>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</si>
  <si>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</si>
  <si>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</si>
  <si>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</si>
  <si>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</si>
  <si>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</si>
  <si>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</si>
  <si>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</si>
  <si>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</si>
  <si>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</si>
  <si>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</si>
  <si>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</si>
  <si>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</si>
  <si>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</si>
  <si>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</si>
  <si>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</si>
  <si>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</si>
  <si>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</si>
  <si>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</si>
  <si>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</si>
  <si>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</si>
  <si>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</si>
  <si>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</si>
  <si>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</si>
  <si>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</si>
  <si>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</si>
  <si>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</si>
  <si>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</si>
  <si>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</si>
  <si>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</si>
  <si>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</si>
  <si>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</si>
  <si>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</si>
  <si>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</si>
  <si>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</si>
  <si>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</si>
  <si>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</si>
  <si>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</si>
  <si>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</si>
  <si>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</si>
  <si>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</si>
  <si>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</si>
  <si>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</si>
  <si>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</si>
  <si>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</si>
  <si>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</si>
  <si>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</si>
  <si>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</si>
  <si>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</si>
  <si>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</si>
  <si>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</si>
  <si>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</si>
  <si>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</si>
  <si>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</si>
  <si>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</si>
  <si>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</si>
  <si>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</si>
  <si>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</si>
  <si>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</si>
  <si>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</si>
  <si>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</si>
  <si>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</si>
  <si>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</si>
  <si>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</si>
  <si>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</si>
  <si>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</si>
  <si>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</si>
  <si>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</si>
  <si>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</si>
  <si>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</si>
  <si>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</si>
  <si>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</si>
  <si>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</si>
  <si>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</si>
  <si>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</si>
  <si>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</si>
  <si>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</si>
  <si>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</si>
  <si>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</si>
  <si>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</si>
  <si>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</si>
  <si>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</si>
  <si>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</si>
  <si>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</si>
  <si>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</si>
  <si>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</si>
  <si>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</si>
  <si>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</si>
  <si>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</si>
  <si>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</si>
  <si>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</si>
  <si>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</si>
  <si>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</si>
  <si>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</si>
  <si>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</si>
  <si>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</si>
  <si>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</si>
  <si>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</si>
  <si>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</si>
  <si>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</si>
  <si>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</si>
  <si>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</si>
  <si>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</si>
  <si>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</si>
  <si>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</si>
  <si>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</si>
  <si>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</si>
  <si>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</si>
  <si>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</si>
  <si>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</si>
  <si>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</si>
  <si>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</si>
  <si>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</si>
  <si>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</si>
  <si>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</si>
  <si>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</si>
  <si>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</si>
  <si>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</si>
  <si>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</si>
  <si>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</si>
  <si>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</si>
  <si>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</si>
  <si>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</si>
  <si>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</si>
  <si>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</si>
  <si>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</si>
  <si>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</si>
  <si>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</si>
  <si>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</si>
  <si>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</si>
  <si>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</si>
  <si>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</si>
  <si>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</si>
  <si>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</si>
  <si>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</si>
  <si>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</si>
  <si>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</si>
  <si>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</si>
  <si>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</si>
  <si>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</si>
  <si>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</si>
  <si>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</si>
  <si>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</si>
  <si>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</si>
  <si>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</si>
  <si>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</si>
  <si>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</si>
  <si>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</si>
  <si>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</si>
  <si>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</si>
  <si>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</si>
  <si>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</si>
  <si>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</si>
  <si>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</si>
  <si>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</si>
  <si>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</si>
  <si>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</si>
  <si>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</si>
  <si>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</si>
  <si>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</si>
  <si>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</si>
  <si>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</si>
  <si>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</si>
  <si>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</si>
  <si>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</si>
  <si>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</si>
  <si>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</si>
  <si>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</si>
  <si>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</si>
  <si>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</si>
  <si>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</si>
  <si>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</si>
  <si>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</si>
  <si>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</si>
  <si>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</si>
  <si>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</si>
  <si>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</si>
  <si>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</si>
  <si>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</si>
  <si>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</si>
  <si>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</si>
  <si>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</si>
  <si>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</si>
  <si>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</si>
  <si>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</si>
  <si>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</si>
  <si>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</si>
  <si>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</si>
  <si>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</si>
  <si>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</si>
  <si>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</si>
  <si>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</si>
  <si>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</si>
  <si>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</si>
  <si>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</si>
  <si>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</si>
  <si>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</si>
  <si>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</si>
  <si>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</si>
  <si>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</si>
  <si>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</si>
  <si>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</si>
  <si>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</si>
  <si>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</si>
  <si>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</si>
  <si>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</si>
  <si>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</si>
  <si>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</si>
  <si>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</si>
  <si>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</si>
  <si>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</si>
  <si>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</si>
  <si>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</si>
  <si>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</si>
  <si>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</si>
  <si>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</si>
  <si>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</si>
  <si>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</si>
  <si>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</si>
  <si>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</si>
  <si>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</si>
  <si>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</si>
  <si>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</si>
  <si>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</si>
  <si>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</si>
  <si>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</si>
  <si>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</si>
  <si>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</si>
  <si>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</si>
  <si>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</si>
  <si>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</si>
  <si>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</si>
  <si>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</si>
  <si>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</si>
  <si>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</si>
  <si>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</si>
  <si>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</si>
  <si>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</si>
  <si>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</si>
  <si>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</si>
  <si>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</si>
  <si>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</si>
  <si>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</si>
  <si>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</si>
  <si>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</si>
  <si>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</si>
  <si>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</si>
  <si>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</si>
  <si>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</si>
  <si>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</si>
  <si>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</si>
  <si>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</si>
  <si>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</si>
  <si>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</si>
  <si>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</si>
  <si>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</si>
  <si>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</si>
  <si>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</si>
  <si>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</si>
  <si>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</si>
  <si>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</si>
  <si>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</si>
  <si>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</si>
  <si>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</si>
  <si>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</si>
  <si>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</si>
  <si>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</si>
  <si>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</si>
  <si>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</si>
  <si>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</si>
  <si>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</si>
  <si>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</si>
  <si>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</si>
  <si>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</si>
  <si>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</si>
  <si>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</si>
  <si>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</si>
  <si>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</si>
  <si>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</si>
  <si>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</si>
  <si>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</si>
  <si>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</si>
  <si>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</si>
  <si>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</si>
  <si>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</si>
  <si>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</si>
  <si>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</si>
  <si>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</si>
  <si>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</si>
  <si>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</si>
  <si>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</si>
  <si>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</si>
  <si>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</si>
  <si>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</si>
  <si>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</si>
  <si>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</si>
  <si>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</si>
  <si>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</si>
  <si>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</si>
  <si>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</si>
  <si>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</si>
  <si>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</si>
  <si>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</si>
  <si>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</si>
  <si>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</si>
  <si>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</si>
  <si>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</si>
  <si>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</si>
  <si>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</si>
  <si>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</si>
  <si>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</si>
  <si>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</si>
  <si>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</si>
  <si>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</si>
  <si>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</si>
  <si>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</si>
  <si>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</si>
  <si>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</si>
  <si>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</si>
  <si>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</si>
  <si>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</si>
  <si>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</si>
  <si>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</si>
  <si>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</si>
  <si>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</si>
  <si>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</si>
  <si>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</si>
  <si>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</si>
  <si>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</si>
  <si>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</si>
  <si>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</si>
  <si>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</si>
  <si>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</si>
  <si>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</si>
  <si>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</si>
  <si>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</si>
  <si>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</si>
  <si>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</si>
  <si>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</si>
  <si>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</si>
  <si>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</si>
  <si>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</si>
  <si>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</si>
  <si>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</si>
  <si>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</si>
  <si>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</si>
  <si>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</si>
  <si>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</si>
  <si>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</si>
  <si>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</si>
  <si>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</si>
  <si>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</si>
  <si>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</si>
  <si>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</si>
  <si>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</si>
  <si>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</si>
  <si>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</si>
  <si>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</si>
  <si>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</si>
  <si>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</si>
  <si>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</si>
  <si>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</si>
  <si>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</si>
  <si>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</si>
  <si>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</si>
  <si>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</si>
  <si>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</si>
  <si>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</si>
  <si>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</si>
  <si>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</si>
  <si>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</si>
  <si>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</si>
  <si>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</si>
  <si>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</si>
  <si>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</si>
  <si>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</si>
  <si>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</si>
  <si>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</si>
  <si>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</si>
  <si>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</si>
  <si>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</si>
  <si>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</si>
  <si>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</si>
  <si>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</si>
  <si>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</si>
  <si>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</si>
  <si>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</si>
  <si>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</si>
  <si>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</si>
  <si>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</si>
  <si>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</si>
  <si>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</si>
  <si>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</si>
  <si>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</si>
  <si>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</si>
  <si>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</si>
  <si>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</si>
  <si>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</si>
  <si>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</si>
  <si>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</si>
  <si>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</si>
  <si>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</si>
  <si>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</si>
  <si>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</si>
  <si>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</si>
  <si>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</si>
  <si>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</si>
  <si>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</si>
  <si>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</si>
  <si>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</si>
  <si>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</si>
  <si>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</si>
  <si>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</si>
  <si>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</si>
  <si>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</si>
  <si>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</si>
  <si>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</si>
  <si>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</si>
  <si>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</si>
  <si>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</si>
  <si>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</si>
  <si>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</si>
  <si>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</si>
  <si>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</si>
  <si>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</si>
  <si>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</si>
  <si>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</si>
  <si>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</si>
  <si>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</si>
  <si>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</si>
  <si>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</si>
  <si>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</si>
  <si>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</si>
  <si>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</si>
  <si>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</si>
  <si>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</si>
  <si>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</si>
  <si>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</si>
  <si>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</si>
  <si>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</si>
  <si>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</si>
  <si>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</si>
  <si>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</si>
  <si>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</si>
  <si>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</si>
  <si>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</si>
  <si>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</si>
  <si>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</si>
  <si>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</si>
  <si>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</si>
  <si>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</si>
  <si>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</si>
  <si>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</si>
  <si>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</si>
  <si>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</si>
  <si>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</si>
  <si>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</si>
  <si>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</si>
  <si>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</si>
  <si>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</si>
  <si>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</si>
  <si>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</si>
  <si>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</si>
  <si>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</si>
  <si>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</si>
  <si>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</si>
  <si>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</si>
  <si>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</si>
  <si>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</si>
  <si>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</si>
  <si>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</si>
  <si>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</si>
  <si>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</si>
  <si>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</si>
  <si>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</si>
  <si>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</si>
  <si>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</si>
  <si>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</si>
  <si>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</si>
  <si>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</si>
  <si>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</si>
  <si>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</si>
  <si>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</si>
  <si>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</si>
  <si>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</si>
  <si>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</si>
  <si>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</si>
  <si>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</si>
  <si>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</si>
  <si>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</si>
  <si>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</si>
  <si>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</si>
  <si>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</si>
  <si>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</si>
  <si>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</si>
  <si>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</si>
  <si>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</si>
  <si>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</si>
  <si>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</si>
  <si>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</si>
  <si>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</si>
  <si>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</si>
  <si>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</si>
  <si>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</si>
  <si>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</si>
  <si>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</si>
  <si>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</si>
  <si>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</si>
  <si>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</si>
  <si>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</si>
  <si>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</si>
  <si>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</si>
  <si>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</si>
  <si>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</si>
  <si>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</si>
  <si>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</si>
  <si>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</si>
  <si>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</si>
  <si>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</si>
  <si>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</si>
  <si>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</si>
  <si>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</si>
  <si>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</si>
  <si>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</si>
  <si>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</si>
  <si>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</si>
  <si>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</si>
  <si>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</si>
  <si>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</si>
  <si>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</si>
  <si>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</si>
  <si>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</si>
  <si>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</si>
  <si>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</si>
  <si>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</si>
  <si>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</si>
  <si>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</si>
  <si>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</si>
  <si>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</si>
  <si>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</si>
  <si>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</si>
  <si>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</si>
  <si>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</si>
  <si>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</si>
  <si>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</si>
  <si>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</si>
  <si>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</si>
  <si>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</si>
  <si>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</si>
  <si>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</si>
  <si>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</si>
  <si>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</si>
  <si>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</si>
  <si>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</si>
  <si>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</si>
  <si>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</si>
  <si>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</si>
  <si>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</si>
  <si>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</si>
  <si>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</si>
  <si>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</si>
  <si>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</si>
  <si>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</si>
  <si>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</si>
  <si>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</si>
  <si>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</si>
  <si>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</si>
  <si>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</si>
  <si>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</si>
  <si>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</si>
  <si>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</si>
  <si>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</si>
  <si>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</si>
  <si>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</si>
  <si>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</si>
  <si>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</si>
  <si>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</si>
  <si>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</si>
  <si>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</si>
  <si>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</si>
  <si>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</si>
  <si>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</si>
  <si>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</si>
  <si>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</si>
  <si>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</si>
  <si>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</si>
  <si>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</si>
  <si>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</si>
  <si>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</si>
  <si>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</si>
  <si>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</si>
  <si>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</si>
  <si>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</si>
  <si>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</si>
  <si>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</si>
  <si>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</si>
  <si>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</si>
  <si>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</si>
  <si>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</si>
  <si>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</si>
  <si>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</si>
  <si>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</si>
  <si>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</si>
  <si>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</si>
  <si>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</si>
  <si>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</si>
  <si>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</si>
  <si>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</si>
  <si>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</si>
  <si>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</si>
  <si>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</si>
  <si>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</si>
  <si>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</si>
  <si>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</si>
  <si>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</si>
  <si>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</si>
  <si>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</si>
  <si>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</si>
  <si>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</si>
  <si>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</si>
  <si>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</si>
  <si>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</si>
  <si>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</si>
  <si>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</si>
  <si>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</si>
  <si>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</si>
  <si>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</si>
  <si>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</si>
  <si>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</si>
  <si>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</si>
  <si>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</si>
  <si>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</si>
  <si>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</si>
  <si>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</si>
  <si>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</si>
  <si>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</si>
  <si>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</si>
  <si>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</si>
  <si>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</si>
  <si>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</si>
  <si>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</si>
  <si>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</si>
  <si>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</si>
  <si>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</si>
  <si>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</si>
  <si>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</si>
  <si>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</si>
  <si>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</si>
  <si>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</si>
  <si>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</si>
  <si>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</si>
  <si>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</si>
  <si>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</si>
  <si>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</si>
  <si>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</si>
  <si>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</si>
  <si>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</si>
  <si>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</si>
  <si>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</si>
  <si>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</si>
  <si>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</si>
  <si>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</si>
  <si>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</si>
  <si>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</si>
  <si>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</si>
  <si>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</si>
  <si>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</si>
  <si>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</si>
  <si>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</si>
  <si>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</si>
  <si>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</si>
  <si>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</si>
  <si>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</si>
  <si>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</si>
  <si>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</si>
  <si>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</si>
  <si>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</si>
  <si>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</si>
  <si>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</si>
  <si>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</si>
  <si>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</si>
  <si>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</si>
  <si>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</si>
  <si>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</si>
  <si>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</si>
  <si>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</si>
  <si>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</si>
  <si>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</si>
  <si>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</si>
  <si>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</si>
  <si>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</si>
  <si>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</si>
  <si>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</si>
  <si>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</si>
  <si>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</si>
  <si>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</si>
  <si>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</si>
  <si>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</si>
  <si>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</si>
  <si>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</si>
  <si>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</si>
  <si>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</si>
  <si>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</si>
  <si>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</si>
  <si>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</si>
  <si>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</si>
  <si>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</si>
  <si>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</si>
  <si>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</si>
  <si>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</si>
  <si>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</si>
  <si>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</si>
  <si>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</si>
  <si>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</si>
  <si>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</si>
  <si>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</si>
  <si>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</si>
  <si>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</si>
  <si>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</si>
  <si>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</si>
  <si>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</si>
  <si>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</si>
  <si>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</si>
  <si>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</si>
  <si>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</si>
  <si>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</si>
  <si>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</si>
  <si>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</si>
  <si>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</si>
  <si>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</si>
  <si>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</si>
  <si>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</si>
  <si>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</si>
  <si>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</si>
  <si>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</si>
  <si>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</si>
  <si>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</si>
  <si>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</si>
  <si>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</si>
  <si>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</si>
  <si>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</si>
  <si>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</si>
  <si>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</si>
  <si>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</si>
  <si>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</si>
  <si>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</si>
  <si>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</si>
  <si>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</si>
  <si>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</si>
  <si>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</si>
  <si>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</si>
  <si>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</si>
  <si>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</si>
  <si>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</si>
  <si>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</si>
  <si>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</si>
  <si>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</si>
  <si>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</si>
  <si>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</si>
  <si>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</si>
  <si>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</si>
  <si>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</si>
  <si>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</si>
  <si>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</si>
  <si>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</si>
  <si>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</si>
  <si>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</si>
  <si>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</si>
  <si>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</si>
  <si>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</si>
  <si>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</si>
  <si>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</si>
  <si>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</si>
  <si>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</si>
  <si>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</si>
  <si>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</si>
  <si>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</si>
  <si>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</si>
  <si>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</si>
  <si>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</si>
  <si>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</si>
  <si>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</si>
  <si>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</si>
  <si>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</si>
  <si>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</si>
  <si>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</si>
  <si>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</si>
  <si>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</si>
  <si>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</si>
  <si>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</si>
  <si>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</si>
  <si>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</si>
  <si>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</si>
  <si>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</si>
  <si>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</si>
  <si>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</si>
  <si>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</si>
  <si>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</si>
  <si>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</si>
  <si>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</si>
  <si>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</si>
  <si>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</si>
  <si>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</si>
  <si>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</si>
  <si>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</si>
  <si>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</si>
  <si>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</si>
  <si>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</si>
  <si>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</si>
  <si>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</si>
  <si>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</si>
  <si>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</si>
  <si>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</si>
  <si>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</si>
  <si>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</si>
  <si>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</si>
  <si>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</si>
  <si>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</si>
  <si>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</si>
  <si>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</si>
  <si>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</si>
  <si>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</si>
  <si>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</si>
  <si>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</si>
  <si>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</si>
  <si>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</si>
  <si>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</si>
  <si>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</si>
  <si>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</si>
  <si>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</si>
  <si>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</si>
  <si>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</si>
  <si>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</si>
  <si>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</si>
  <si>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</si>
  <si>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</si>
  <si>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</si>
  <si>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</si>
  <si>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</si>
  <si>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</si>
  <si>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</si>
  <si>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</si>
  <si>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</si>
  <si>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</si>
  <si>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</si>
  <si>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</si>
  <si>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</si>
  <si>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</si>
  <si>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</si>
  <si>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</si>
  <si>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</si>
  <si>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</si>
  <si>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</si>
  <si>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</si>
  <si>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</si>
  <si>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</si>
  <si>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</si>
  <si>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</si>
  <si>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</si>
  <si>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</si>
  <si>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</si>
  <si>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</si>
  <si>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</si>
  <si>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</si>
  <si>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</si>
  <si>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</si>
  <si>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</si>
  <si>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</si>
  <si>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</si>
  <si>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</si>
  <si>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</si>
  <si>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</si>
  <si>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</si>
  <si>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</si>
  <si>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</si>
  <si>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</si>
  <si>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</si>
  <si>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</si>
  <si>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</si>
  <si>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</si>
  <si>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</si>
  <si>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</si>
  <si>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</si>
  <si>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</si>
  <si>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</si>
  <si>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</si>
  <si>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</si>
  <si>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</si>
  <si>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</si>
  <si>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</si>
  <si>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</si>
  <si>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</si>
  <si>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</si>
  <si>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</si>
  <si>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</si>
  <si>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</si>
  <si>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</si>
  <si>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</si>
  <si>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</si>
  <si>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</si>
  <si>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</si>
  <si>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</si>
  <si>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</si>
  <si>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</si>
  <si>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</si>
  <si>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</si>
  <si>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</si>
  <si>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</si>
  <si>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</si>
  <si>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</si>
  <si>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</si>
  <si>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</si>
  <si>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</si>
  <si>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</si>
  <si>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</si>
  <si>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</si>
  <si>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</si>
  <si>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</si>
  <si>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</si>
  <si>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</si>
  <si>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</si>
  <si>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</si>
  <si>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</si>
  <si>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</si>
  <si>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</si>
  <si>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</si>
  <si>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</si>
  <si>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</si>
  <si>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</si>
  <si>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</si>
  <si>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</si>
  <si>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</si>
  <si>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</si>
  <si>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</si>
  <si>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</si>
  <si>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</si>
  <si>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</si>
  <si>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</si>
  <si>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</si>
  <si>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</si>
  <si>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</si>
  <si>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</si>
  <si>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</si>
  <si>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</si>
  <si>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</si>
  <si>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</si>
  <si>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</si>
  <si>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</si>
  <si>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</si>
  <si>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</si>
  <si>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</si>
  <si>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</si>
  <si>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</si>
  <si>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</si>
  <si>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</si>
  <si>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</si>
  <si>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</si>
  <si>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</si>
  <si>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</si>
  <si>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</si>
  <si>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</si>
  <si>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</si>
  <si>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</si>
  <si>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</si>
  <si>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</si>
  <si>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</si>
  <si>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</si>
  <si>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</si>
  <si>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</si>
  <si>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</si>
  <si>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</si>
  <si>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</si>
  <si>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</si>
  <si>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</si>
  <si>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</si>
  <si>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</si>
  <si>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</si>
  <si>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</si>
  <si>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</si>
  <si>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</si>
  <si>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</si>
  <si>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</si>
  <si>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</si>
  <si>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</si>
  <si>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</si>
  <si>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</si>
  <si>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</si>
  <si>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</si>
  <si>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</si>
  <si>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</si>
  <si>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</si>
  <si>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</si>
  <si>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</si>
  <si>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</si>
  <si>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</si>
  <si>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</si>
  <si>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</si>
  <si>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</si>
  <si>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</si>
  <si>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</si>
  <si>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</si>
  <si>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</si>
  <si>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</si>
  <si>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</si>
  <si>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</si>
  <si>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</si>
  <si>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</si>
  <si>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</si>
  <si>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</si>
  <si>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</si>
  <si>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</si>
  <si>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</si>
  <si>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</si>
  <si>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</si>
  <si>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</si>
  <si>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</si>
  <si>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</si>
  <si>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</si>
  <si>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</si>
  <si>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</si>
  <si>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</si>
  <si>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</si>
  <si>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</si>
  <si>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</si>
  <si>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</si>
  <si>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</si>
  <si>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</si>
  <si>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</si>
  <si>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</si>
  <si>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</si>
  <si>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</si>
  <si>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</si>
  <si>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</si>
  <si>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</si>
  <si>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</si>
  <si>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</si>
  <si>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</si>
  <si>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</si>
  <si>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</si>
  <si>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</si>
  <si>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</si>
  <si>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</si>
  <si>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</si>
  <si>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</si>
  <si>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</si>
  <si>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</si>
  <si>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</si>
  <si>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</si>
  <si>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</si>
  <si>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</si>
  <si>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</si>
  <si>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</si>
  <si>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</si>
  <si>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</si>
  <si>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</si>
  <si>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</si>
  <si>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</si>
  <si>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</si>
  <si>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</si>
  <si>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</si>
  <si>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</si>
  <si>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</si>
  <si>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</si>
  <si>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</si>
  <si>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</si>
  <si>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</si>
  <si>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</si>
  <si>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</si>
  <si>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</si>
  <si>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</si>
  <si>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</si>
  <si>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</si>
  <si>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</si>
  <si>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</si>
  <si>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</si>
  <si>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</si>
  <si>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</si>
  <si>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</si>
  <si>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</si>
  <si>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</si>
  <si>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</si>
  <si>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</si>
  <si>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</si>
  <si>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</si>
  <si>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</si>
  <si>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</si>
  <si>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</si>
  <si>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</si>
  <si>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</si>
  <si>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</si>
  <si>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</si>
  <si>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</si>
  <si>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2018PA-023</t>
  </si>
  <si>
    <t>DDER Development, LLC</t>
  </si>
  <si>
    <t>Deion Lowery</t>
  </si>
  <si>
    <t>Kissimmee</t>
  </si>
  <si>
    <t>lisa.lacock@birdsonghousing.com</t>
  </si>
  <si>
    <t>Lisa Lacock</t>
  </si>
  <si>
    <t>Director of Development</t>
  </si>
  <si>
    <t>Sparrow Pointe at Forest Hill</t>
  </si>
  <si>
    <t>13071970702</t>
  </si>
  <si>
    <t>Within City Limits</t>
  </si>
  <si>
    <t>City of Moultrie</t>
  </si>
  <si>
    <t>http://www.moultriega.com/</t>
  </si>
  <si>
    <t>William McLeod McIntosh</t>
  </si>
  <si>
    <t>Mayor</t>
  </si>
  <si>
    <t>Direct</t>
  </si>
  <si>
    <t>Sparrow Pointe Housing, LP</t>
  </si>
  <si>
    <t>For Profit</t>
  </si>
  <si>
    <t>Affordable Equity Partners</t>
  </si>
  <si>
    <t>Brian Kimes</t>
  </si>
  <si>
    <t>206 Peach Way</t>
  </si>
  <si>
    <t>Vice President</t>
  </si>
  <si>
    <t>www.aepartners.com</t>
  </si>
  <si>
    <t>bkimes@aepartners.com</t>
  </si>
  <si>
    <t>Fairway Construction Co., Inc</t>
  </si>
  <si>
    <t>Steven Hickey</t>
  </si>
  <si>
    <t>Director of Operations</t>
  </si>
  <si>
    <t>www.fairwayconstruction.net</t>
  </si>
  <si>
    <t>shickey@fairwayconstruction.net</t>
  </si>
  <si>
    <t>Fairway Management, Inc.</t>
  </si>
  <si>
    <t>Ryan Stevens</t>
  </si>
  <si>
    <t>3290 Northside Parkway, Suite 300</t>
  </si>
  <si>
    <t>rstevens@fairwaymanagement.com</t>
  </si>
  <si>
    <t>Coleman Talley LLP</t>
  </si>
  <si>
    <t>Russ Henry</t>
  </si>
  <si>
    <t>910 North Patterson Street</t>
  </si>
  <si>
    <t>Partner</t>
  </si>
  <si>
    <t>www.colemantalley.com</t>
  </si>
  <si>
    <t>russ.henry@colemantalley.com</t>
  </si>
  <si>
    <t>Tidwell Group</t>
  </si>
  <si>
    <t>Joshua Northcutt</t>
  </si>
  <si>
    <t>Office Managing Partner</t>
  </si>
  <si>
    <t>bmcintosh@moultrie.net</t>
  </si>
  <si>
    <t>www.thefctgroup.com</t>
  </si>
  <si>
    <t>345 Peachtree Industrial Pkwy, Suite 1206</t>
  </si>
  <si>
    <t>joshua.northcutt@tidwellgroup.com</t>
  </si>
  <si>
    <t>Martin Riley Architect Associates, P.C.</t>
  </si>
  <si>
    <t>Mike Riley</t>
  </si>
  <si>
    <t>215 Church Street, Suite 200</t>
  </si>
  <si>
    <t>www.martinriley.com</t>
  </si>
  <si>
    <t>mriley@martinriley.com</t>
  </si>
  <si>
    <t>Seedtime Harvest International Church</t>
  </si>
  <si>
    <t>Dr. Charles Hadley</t>
  </si>
  <si>
    <t>1155 6th Street</t>
  </si>
  <si>
    <t>hadleychas@aol.com</t>
  </si>
  <si>
    <t>The General Contractor and the Federal and State Syndicator are related parties</t>
  </si>
  <si>
    <t>Syndicator and Management Co.</t>
  </si>
  <si>
    <t>The Management Company and the Federal and State Syndicator are related parties</t>
  </si>
  <si>
    <t>Sterling Bank</t>
  </si>
  <si>
    <t>GP &amp; LP Equity</t>
  </si>
  <si>
    <t>Affordable Equity Partners, Inc.</t>
  </si>
  <si>
    <t>DDA/QCT</t>
  </si>
  <si>
    <t>GA Department of Community Affairs - Georgia South</t>
  </si>
  <si>
    <t>1.1.2018</t>
  </si>
  <si>
    <t>Electric Heat Pump</t>
  </si>
  <si>
    <t>Misc. Administrative Expenses</t>
  </si>
  <si>
    <t>Cable TV / Internet</t>
  </si>
  <si>
    <t>Personal Property Taxes</t>
  </si>
  <si>
    <t>Please see Tab 1 of the Application for the documentation supporting the Real Estate Taxes and Insurance budgets.</t>
  </si>
  <si>
    <t>Applicant meets the cost limits.</t>
  </si>
  <si>
    <t>Applicant has a Family designation.</t>
  </si>
  <si>
    <t>Holiday and semi-monthly birthday parties, pot luck dinners</t>
  </si>
  <si>
    <t>Computer training, aerobics classes</t>
  </si>
  <si>
    <t>Applicant agrees to provide social and recreational programs and on site enrichment classes</t>
  </si>
  <si>
    <t>Novogradac &amp; Company, LLP</t>
  </si>
  <si>
    <t>Geotechnical and Environmental Consultants, Inc.</t>
  </si>
  <si>
    <t>The environmental report is included in Tab 7 of the application.</t>
  </si>
  <si>
    <t>Purchase Contract</t>
  </si>
  <si>
    <t>Please see Tab 8 of the application for evidence of site control. The Applicant has site control through November 30, 2018.</t>
  </si>
  <si>
    <t>N/Ap</t>
  </si>
  <si>
    <t>Zoning is in place at the time of the application and the site development plan conforms to the zoning. Please see Tab 10 for zoning.</t>
  </si>
  <si>
    <t>Please see Tab 11 for confirmation that electric service is available at the project site.</t>
  </si>
  <si>
    <t>Please see Tab 12 for evidence that water and sewer services are available at the project site.</t>
  </si>
  <si>
    <t>Agree</t>
  </si>
  <si>
    <t>Covered Porch</t>
  </si>
  <si>
    <t>On-site laundry</t>
  </si>
  <si>
    <t>Equipped Fitness Center</t>
  </si>
  <si>
    <t>Computer / Business Center</t>
  </si>
  <si>
    <t>Applicant agrees that the site development plan was prepared in accordance with the DCA Architectural Manual.</t>
  </si>
  <si>
    <t>Applicant agrees the project will achieve the minimum standard energy efficiency and sustainable building practices set forth in the QAP and DCA Architectural Manual.</t>
  </si>
  <si>
    <t>Zeffert &amp; Associates</t>
  </si>
  <si>
    <t>The applicant will meet all required accessibility standards.</t>
  </si>
  <si>
    <t>Applicant will comply with Architectural Design and Quality Standards</t>
  </si>
  <si>
    <t>The project team submitted a pre-application and the status was indicated as "Probationary Certifying GP/Dev"</t>
  </si>
  <si>
    <t>The Applicant submitted a pre-application and there have been no changes to the project team.</t>
  </si>
  <si>
    <t>The Applicant is not a CHDO</t>
  </si>
  <si>
    <t>The Applicant is not a nonprofit</t>
  </si>
  <si>
    <t>The Applicant did not apply under the Rural HOME Preservation Set Aside</t>
  </si>
  <si>
    <t>An AFFH Marketing Plan will be prepared if the project is selected.</t>
  </si>
  <si>
    <t>The project is a Rural site and is within 0.5 miles from a Place of Worship, which is eligible for 2 points. The project is within 1.5 miles of a National Big Box Store, Traditional Town Square, Grocery Store, Recreation Center, Elementary School, Public Park, Public Library, Medical Care Provider, Police Department, Department Store, Restaurant, Bank, Post Office and a Pharmacy, and is eligible for one (1) desirable point for each. Please see Tab 26 for the Desirable / Undesirable Certification. There are no undesirables.</t>
  </si>
  <si>
    <t>N/a</t>
  </si>
  <si>
    <t>Southwest Georgia Regional Transit</t>
  </si>
  <si>
    <t>http://www.swgrc.org/regional-transit/</t>
  </si>
  <si>
    <t>Colquitt County - 635</t>
  </si>
  <si>
    <t>Colquitt County High School - 1554</t>
  </si>
  <si>
    <t>09-12</t>
  </si>
  <si>
    <t>The applicant is in the rural pool and there has not been a DCA awarded project within the City of Moultrie in the last Six (6) DCA funding cycles. The last awarded deal in the City of Moultrie was in 2008.</t>
  </si>
  <si>
    <t>The Applicant will be claiming the Priorty point for this application, Sparrow Pointe at Forest Hill. This is the only application the proposed Project Team has a direct or indirect interest.</t>
  </si>
  <si>
    <t>The Applicant agrees to accept Section 811 PBRA or other DCA-offered RA for up to 10% of the units for the purpose of providing Integrated Supportive Housing opportunities to Persons with Disabilities. The Applicant understands the requirements of the program.</t>
  </si>
  <si>
    <t>Please see Tab 32 of the application for evidence of the project site in a QCT, the DCA Community Redevelopment Certificate and additional information regarding the redevelopment plan. A full copy of the plan is included in Tab 32 and meets the DCA requirements and clearly delineates the Targeted Area, which includes the proposed site, but not the entire surrounding city, provides evidence of public input and engagement during the planning stages, contains policy goals that call for the rehabilitation/production of affordable rental housing, specifies implementation measures/timeframes/resources for achievements, includes an assessment of the existing physical structures and infrastructure of the proposed community and has been officially adopted by the Local Government.</t>
  </si>
  <si>
    <t>P.O.Box 3368</t>
  </si>
  <si>
    <t>No appraisal was required for this application submission. The proposed site was rezoned to R-3, Multiple dwelling Residential District. The Site has not been subdivided nor modified for this proposed project.</t>
  </si>
  <si>
    <t>The Applicant agrees to provide the required Standard site Amenities in conformance with the DCA Amenities Guidebook and the additional 2 site amenities, fitness center and computer/business center. The project is a Family tenancy.</t>
  </si>
  <si>
    <t>The project is proposed new construction.</t>
  </si>
  <si>
    <t>The project will be new construction and the site is currently undeveloped vacant land.</t>
  </si>
  <si>
    <t>The Applicant is not claiming points under favorable financing.</t>
  </si>
  <si>
    <t>The project is new construction and is not deemed historic or adaptive reuse.</t>
  </si>
  <si>
    <t>8th Street SE</t>
  </si>
  <si>
    <t>919 8th Street SE</t>
  </si>
  <si>
    <t>Two to Three months</t>
  </si>
  <si>
    <t>2012-030</t>
  </si>
  <si>
    <t>Tallokas Pointe Apartments</t>
  </si>
  <si>
    <t>2008-009</t>
  </si>
  <si>
    <t>Antigua Place</t>
  </si>
  <si>
    <t>Antigua Place, Phase II</t>
  </si>
  <si>
    <t>2004-019</t>
  </si>
  <si>
    <t>Please see Tab 5 for the market study indicating the demand for affordable housing in the market area. The LIHTC comparables are experiencing a weighted average vacancy rate of only 1.4% and are currently maintaing lengthy waiting lists. Additionally, the market analyst has determined an overall capture rate of only 6.2% further justifying the significant demand for affordable rental housing in Moultrie. Tallokas Pointe Apartments is located outside the city limits of Moultrie and Antigua Place Phase I &amp; II are of senior tenancy.</t>
  </si>
  <si>
    <t>The market study included in Tab 5 of the Application indicated high occupancy rates, waiting lists and low capture rates, which demonstrates a strong demand of affordable rental housing in the City of Moultrie. The Applicant believes that the project is an optimal utilization of DCA resources and will fill a void in housing within the City of Moultrie.</t>
  </si>
  <si>
    <t>The proposed development will be seeking an Earthcraft House Multifamily certification. The minimum score is 100 and we are projecting a score of 123.  Please see Tab 29 of the Application for Sustainable Developments for the documentation.</t>
  </si>
  <si>
    <t>Please see Tab 31 of the application for evidence that the project is within the boundaries of Colquitt County High School and the CCRPI reports for 2015, 2016 and 2017 showing a three year average above the threshold for the Quality Education Area point. Also in included in Tab 30 of the application is the report from the Census Bureau's OnTheMap website demonstrating that the site meets the requirements for 2 points in this section as well as documentation identifying the address entered into the search box. The propsed site exceeds the minimum jobs threshold by 50%.</t>
  </si>
  <si>
    <t>www.fairwaymanagement.com</t>
  </si>
  <si>
    <t>Georgia DCA - Southern Region</t>
  </si>
  <si>
    <t>Applicant has used the GA DCA - Southern Region utility allowances for Semi-Detached/Row Houses. Pleas see Tab 01 of the application for documentation of the applicable utility allowances.</t>
  </si>
  <si>
    <t>Please see Tab 35 of the application for the required GICH documentation. The proposed project has obtained the only letter issued by the GICH community, which identifies the boundaries and the proposed projects existence within the GICH community and is executed by the appropriate primary contact and the local government agreement letter from the Mayor related to the issuance of the letter.</t>
  </si>
  <si>
    <t>Sparrow Pointe Housing GP, LLC</t>
  </si>
  <si>
    <t>Education Outcomes Budget</t>
  </si>
  <si>
    <t xml:space="preserve">This Family community in the City of Moultrie, Colquitt County will be a 50-unit, all new construction, townhome development located between Hillcrest Ave &amp; 8th Street. The entire site is comprised of 9 +/- acres currently owned Seedtime Harvest International Church and is entirely within the city limits of Moultrie.  
All units will be reserved for low income households coming from the Moultrie and surrounding Colquitt County community with a Tax Credit Election of 40% of the units at 60% AMI, with ten (10) units reserved at 50% and forty (40) units reserved at 60%. Twenty (20) of the townhomes will be three-bedroom/two-bathroom, twenty-four (24) will be two-bedroom/two-bathroom, and six (6) will be one-bedroom/one-bathroom. 
The site is in close proximity to community amenities for easy access by residents. An onsite property manager will assist in facilitating resident events on a monthly, quarterly, and annual basis. The development will be constructed to meet the requirements of Southface's Earthcraft Multifamily certification. Landscaping and general site layout, plus carefully selected exterior construction options, will come together to create an attractive community. Interior finishes and design options will ensure a comfortable home for residents.  
The Developer and sole member of the General Partner for the Moultrie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  Financing partners include Florida Housing Finance Corporation, First Housing Finance Corp., PNC Bank, Raymond James, SunTrust, and Edison Capital.  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t>
  </si>
  <si>
    <t>6-13, 18-20</t>
  </si>
  <si>
    <t>4, 6, 13, 15</t>
  </si>
  <si>
    <t>4, 6 9, 11, 13</t>
  </si>
  <si>
    <t>7-13, 22-41</t>
  </si>
  <si>
    <t>http://www.moultriega.com/departments/planning-community-development/reports-plans-applications-checklists/</t>
  </si>
  <si>
    <t>9, 11-13</t>
  </si>
  <si>
    <t>16-17</t>
  </si>
  <si>
    <t>1631 E. Vine Street, Suite 300</t>
  </si>
  <si>
    <t>The applicant has budgeted $14,890 for the off-site road improvements for Site Access from 8th Street. The $14,890 represents the costs associated with improving the public road. The remaining $36,000 in offsite costs accounts for the emergency secondary access.
Please see Tab 1 for documentation of local government fees.</t>
  </si>
  <si>
    <t>QAP defined Residential Square Footages: 1BR = 873 sq ft, 2BR = 1,122 sq ft, 3BR = 1,429 sq ft, Total = 60,746 sq ft</t>
  </si>
  <si>
    <t>&lt;65</t>
  </si>
  <si>
    <t>Road, Railway, Aircraft</t>
  </si>
  <si>
    <t>Government</t>
  </si>
  <si>
    <t xml:space="preserve">The capital investments mentioned above have directly contributed to the implementation of the City of Moultrie's Urban Redevelopment Plan intiatives which include improving physical development infrastructure, social conditions, and redevelopment of blighted and threatened areas. </t>
  </si>
  <si>
    <t xml:space="preserve">The residents of Sparrow Pointe at Forest Hill will enjoy direct access to the neighborhood greenspace and outdoor walking trail park area located directly West of the proposed development site. The rehabilitation of blighted areas and homes will improve the walkability, safety, and overall quality of life for residents of the Sparrow Pointe at Forest Hill. </t>
  </si>
  <si>
    <t>The off-site capital investment totalling $205,110 is comprised of multiple projects including the addition of a neighborhood greenspace and outdoor walking trail park area, and the redevelopment of  uninhabitable, unsafe housing in order to reduce physical and social blight. Sources include donated land, city in-kind services, City General Fund, and 3rd party private investment in conjunction with increased city initiative and code enforcement.</t>
  </si>
  <si>
    <t>2018-030</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</si>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</sst>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10" fontId="246" fillId="0" borderId="0" xfId="11" applyFont="1" applyFill="1" applyBorder="1" applyProtection="1"/>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43">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Sparrow Pointe at Forest Hill</v>
      </c>
    </row>
    <row r="3" spans="1:6" ht="15" customHeight="1">
      <c r="A3" s="915" t="str">
        <f>CONCATENATE('Part I-Project Information'!F38,", ", 'Part I-Project Information'!J39," County")</f>
        <v>Moultrie, Colquitt County</v>
      </c>
    </row>
    <row r="4" spans="1:6" ht="12" customHeight="1"/>
    <row r="5" spans="1:6" ht="111" customHeight="1">
      <c r="A5" s="2896" t="s">
        <v>4688</v>
      </c>
      <c r="B5" s="1619" t="s">
        <v>2928</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hBMq4Xqt9pqped0Zb34dz+/t5O+c66DXQ06po5xw+KNRMHyUGOQ8eucZgqG4LQUaIigopCTU4jCfyb0mT2J/9A==" saltValue="EjySxiFR15GFhNWMuTEGkA=="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2018-030 Sparrow Pointe at Forest Hill, Moultrie, Colquitt County</v>
      </c>
      <c r="B1" s="1738"/>
      <c r="C1" s="1738"/>
      <c r="D1" s="1738"/>
      <c r="E1" s="1738"/>
      <c r="F1" s="1738"/>
      <c r="G1" s="1738"/>
      <c r="H1" s="1738"/>
      <c r="I1" s="1738"/>
      <c r="J1" s="1738"/>
      <c r="K1" s="1738"/>
      <c r="L1" s="1738"/>
      <c r="M1" s="1738"/>
      <c r="N1" s="1738"/>
      <c r="O1" s="1738"/>
      <c r="P1" s="1739"/>
      <c r="U1" s="1883" t="str">
        <f>A1</f>
        <v>PART SIX - PROJECTED REVENUES &amp; EXPENSES  -  2018-030 Sparrow Pointe at Forest Hill, Moultrie, Colquitt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2381</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2455</v>
      </c>
      <c r="FD3" s="470" t="s">
        <v>2456</v>
      </c>
      <c r="FE3" s="470" t="s">
        <v>2457</v>
      </c>
      <c r="FF3" s="470" t="s">
        <v>2458</v>
      </c>
      <c r="FG3" s="470" t="s">
        <v>490</v>
      </c>
      <c r="FH3" s="470" t="s">
        <v>2455</v>
      </c>
      <c r="FI3" s="470" t="s">
        <v>2456</v>
      </c>
      <c r="FJ3" s="470" t="s">
        <v>2457</v>
      </c>
      <c r="FK3" s="470" t="s">
        <v>2458</v>
      </c>
      <c r="FL3" s="472"/>
      <c r="FM3" s="472"/>
      <c r="FN3" s="472"/>
      <c r="FO3" s="472"/>
      <c r="FP3" s="472"/>
      <c r="FQ3" s="472"/>
      <c r="FR3" s="472"/>
      <c r="FS3" s="472"/>
      <c r="FT3" s="472"/>
      <c r="FU3" s="472"/>
      <c r="FV3" s="470" t="s">
        <v>490</v>
      </c>
      <c r="FW3" s="470" t="s">
        <v>2455</v>
      </c>
      <c r="FX3" s="470" t="s">
        <v>2456</v>
      </c>
      <c r="FY3" s="470" t="s">
        <v>2457</v>
      </c>
      <c r="FZ3" s="470" t="s">
        <v>2458</v>
      </c>
      <c r="GA3" s="470" t="s">
        <v>490</v>
      </c>
      <c r="GB3" s="470" t="s">
        <v>2455</v>
      </c>
      <c r="GC3" s="470" t="s">
        <v>2456</v>
      </c>
      <c r="GD3" s="470" t="s">
        <v>2457</v>
      </c>
      <c r="GE3" s="470" t="s">
        <v>2458</v>
      </c>
      <c r="GF3" s="470" t="s">
        <v>490</v>
      </c>
      <c r="GG3" s="470" t="s">
        <v>2455</v>
      </c>
      <c r="GH3" s="470" t="s">
        <v>2456</v>
      </c>
      <c r="GI3" s="470" t="s">
        <v>2457</v>
      </c>
      <c r="GJ3" s="470" t="s">
        <v>2458</v>
      </c>
      <c r="GK3" s="470" t="s">
        <v>490</v>
      </c>
      <c r="GL3" s="470" t="s">
        <v>2455</v>
      </c>
      <c r="GM3" s="470" t="s">
        <v>2456</v>
      </c>
      <c r="GN3" s="470" t="s">
        <v>2457</v>
      </c>
      <c r="GO3" s="470" t="s">
        <v>2458</v>
      </c>
      <c r="GP3" s="470" t="s">
        <v>490</v>
      </c>
      <c r="GQ3" s="470" t="s">
        <v>2455</v>
      </c>
      <c r="GR3" s="470" t="s">
        <v>2456</v>
      </c>
      <c r="GS3" s="470" t="s">
        <v>2457</v>
      </c>
      <c r="GT3" s="470" t="s">
        <v>2458</v>
      </c>
      <c r="GU3" s="470" t="s">
        <v>490</v>
      </c>
      <c r="GV3" s="470" t="s">
        <v>2455</v>
      </c>
      <c r="GW3" s="470" t="s">
        <v>2456</v>
      </c>
      <c r="GX3" s="470" t="s">
        <v>2457</v>
      </c>
      <c r="GY3" s="470" t="s">
        <v>2458</v>
      </c>
      <c r="GZ3" s="470" t="s">
        <v>490</v>
      </c>
      <c r="HA3" s="470" t="s">
        <v>2455</v>
      </c>
      <c r="HB3" s="470" t="s">
        <v>2456</v>
      </c>
      <c r="HC3" s="470" t="s">
        <v>2457</v>
      </c>
      <c r="HD3" s="470" t="s">
        <v>2458</v>
      </c>
      <c r="HE3" s="470" t="s">
        <v>490</v>
      </c>
      <c r="HF3" s="470" t="s">
        <v>2455</v>
      </c>
      <c r="HG3" s="470" t="s">
        <v>2456</v>
      </c>
      <c r="HH3" s="470" t="s">
        <v>2457</v>
      </c>
      <c r="HI3" s="470" t="s">
        <v>2458</v>
      </c>
      <c r="HJ3" s="470" t="s">
        <v>490</v>
      </c>
      <c r="HK3" s="470" t="s">
        <v>2455</v>
      </c>
      <c r="HL3" s="470" t="s">
        <v>2456</v>
      </c>
      <c r="HM3" s="470" t="s">
        <v>2457</v>
      </c>
      <c r="HN3" s="470" t="s">
        <v>2458</v>
      </c>
      <c r="HO3" s="470" t="s">
        <v>490</v>
      </c>
      <c r="HP3" s="470" t="s">
        <v>2455</v>
      </c>
      <c r="HQ3" s="470" t="s">
        <v>2456</v>
      </c>
      <c r="HR3" s="470" t="s">
        <v>2457</v>
      </c>
      <c r="HS3" s="470" t="s">
        <v>2458</v>
      </c>
      <c r="HT3" s="470" t="s">
        <v>490</v>
      </c>
      <c r="HU3" s="470" t="s">
        <v>2455</v>
      </c>
      <c r="HV3" s="470" t="s">
        <v>2456</v>
      </c>
      <c r="HW3" s="470" t="s">
        <v>2457</v>
      </c>
      <c r="HX3" s="470" t="s">
        <v>2458</v>
      </c>
      <c r="HY3" s="470" t="s">
        <v>490</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3443</v>
      </c>
      <c r="JD3" s="1864" t="s">
        <v>3444</v>
      </c>
      <c r="JE3" s="1864" t="s">
        <v>3445</v>
      </c>
      <c r="JF3" s="1864" t="s">
        <v>3446</v>
      </c>
      <c r="JG3" s="1864" t="s">
        <v>3447</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2325</v>
      </c>
      <c r="AD4" s="1880" t="s">
        <v>2326</v>
      </c>
      <c r="AE4" s="1880" t="s">
        <v>2327</v>
      </c>
      <c r="AF4" s="1880" t="s">
        <v>2328</v>
      </c>
      <c r="AG4" s="1880" t="s">
        <v>930</v>
      </c>
      <c r="AH4" s="1880" t="s">
        <v>2329</v>
      </c>
      <c r="AI4" s="1880" t="s">
        <v>2330</v>
      </c>
      <c r="AJ4" s="1880" t="s">
        <v>2331</v>
      </c>
      <c r="AK4" s="1880" t="s">
        <v>2332</v>
      </c>
      <c r="AL4" s="1880" t="s">
        <v>130</v>
      </c>
      <c r="AM4" s="1880" t="s">
        <v>2333</v>
      </c>
      <c r="AN4" s="1880" t="s">
        <v>2334</v>
      </c>
      <c r="AO4" s="1880" t="s">
        <v>2335</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2445</v>
      </c>
      <c r="BV4" s="1880" t="s">
        <v>2446</v>
      </c>
      <c r="BW4" s="1880" t="s">
        <v>2447</v>
      </c>
      <c r="BX4" s="1880" t="s">
        <v>2448</v>
      </c>
      <c r="BY4" s="1880" t="s">
        <v>2449</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2444</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2223</v>
      </c>
      <c r="EN4" s="1877" t="s">
        <v>2224</v>
      </c>
      <c r="EO4" s="1877" t="s">
        <v>2225</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2539</v>
      </c>
      <c r="IF4" s="1864" t="s">
        <v>2540</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1859</v>
      </c>
      <c r="D5" s="1"/>
      <c r="E5" s="4"/>
      <c r="F5" s="1"/>
      <c r="G5" s="3239"/>
      <c r="H5" s="1126"/>
      <c r="I5" s="1585" t="s">
        <v>806</v>
      </c>
      <c r="J5" s="1585" t="s">
        <v>3587</v>
      </c>
      <c r="K5" s="1881" t="s">
        <v>4551</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3438</v>
      </c>
      <c r="JI5" s="1878" t="s">
        <v>3439</v>
      </c>
      <c r="JJ5" s="1878" t="s">
        <v>3440</v>
      </c>
      <c r="JK5" s="1878" t="s">
        <v>3441</v>
      </c>
      <c r="JL5" s="1878" t="s">
        <v>3442</v>
      </c>
      <c r="JM5" s="1864" t="s">
        <v>3452</v>
      </c>
      <c r="JN5" s="1864" t="s">
        <v>3454</v>
      </c>
      <c r="JO5" s="1864" t="s">
        <v>3455</v>
      </c>
      <c r="JP5" s="1864" t="s">
        <v>3456</v>
      </c>
      <c r="JQ5" s="1864" t="s">
        <v>3457</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t="s">
        <v>3012</v>
      </c>
      <c r="G6" s="1585" t="s">
        <v>3689</v>
      </c>
      <c r="H6" s="1873" t="s">
        <v>3919</v>
      </c>
      <c r="I6" s="1585" t="s">
        <v>807</v>
      </c>
      <c r="J6" s="1585" t="s">
        <v>3692</v>
      </c>
      <c r="K6" s="1882"/>
      <c r="L6" s="1882"/>
      <c r="M6" s="1874" t="str">
        <f>'Part I-Project Information'!$O$40</f>
        <v>Colquitt Co.</v>
      </c>
      <c r="N6" s="1874"/>
      <c r="O6" s="928">
        <f>VLOOKUP('Part I-Project Information'!$O$40,'DCA Underwriting Assumptions'!$C$155:$D$265,2)</f>
        <v>39400</v>
      </c>
      <c r="P6" s="1873"/>
      <c r="Q6" s="1583"/>
      <c r="R6" s="97"/>
      <c r="S6" s="1875" t="s">
        <v>2714</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3879</v>
      </c>
      <c r="J7" s="1585" t="s">
        <v>3693</v>
      </c>
      <c r="K7" s="919"/>
      <c r="L7" s="919"/>
      <c r="M7" s="1"/>
      <c r="P7" s="1873"/>
      <c r="Q7" s="1583"/>
      <c r="R7" s="919"/>
      <c r="S7" s="920"/>
      <c r="T7" s="925" t="s">
        <v>2711</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2421</v>
      </c>
      <c r="K8" s="1876" t="s">
        <v>146</v>
      </c>
      <c r="L8" s="1876"/>
      <c r="M8" s="1585" t="s">
        <v>2382</v>
      </c>
      <c r="N8" s="1585" t="s">
        <v>537</v>
      </c>
      <c r="O8" s="1585" t="s">
        <v>385</v>
      </c>
      <c r="P8" s="1873"/>
      <c r="Q8" s="1876" t="s">
        <v>3597</v>
      </c>
      <c r="R8" s="1876"/>
      <c r="S8" s="1585" t="s">
        <v>2710</v>
      </c>
      <c r="T8" s="1585" t="s">
        <v>2712</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2455</v>
      </c>
      <c r="EY8" s="473" t="s">
        <v>2456</v>
      </c>
      <c r="EZ8" s="473" t="s">
        <v>2457</v>
      </c>
      <c r="FA8" s="473" t="s">
        <v>2458</v>
      </c>
      <c r="FB8" s="1864" t="s">
        <v>2512</v>
      </c>
      <c r="FC8" s="1864" t="s">
        <v>2512</v>
      </c>
      <c r="FD8" s="1864" t="s">
        <v>2512</v>
      </c>
      <c r="FE8" s="1864" t="s">
        <v>2512</v>
      </c>
      <c r="FF8" s="1864" t="s">
        <v>2512</v>
      </c>
      <c r="FG8" s="1864" t="s">
        <v>3386</v>
      </c>
      <c r="FH8" s="1864" t="s">
        <v>3386</v>
      </c>
      <c r="FI8" s="1864" t="s">
        <v>3386</v>
      </c>
      <c r="FJ8" s="1864" t="s">
        <v>3386</v>
      </c>
      <c r="FK8" s="1864" t="s">
        <v>3386</v>
      </c>
      <c r="FL8" s="473" t="s">
        <v>573</v>
      </c>
      <c r="FM8" s="473" t="s">
        <v>2455</v>
      </c>
      <c r="FN8" s="473" t="s">
        <v>2456</v>
      </c>
      <c r="FO8" s="473" t="s">
        <v>2457</v>
      </c>
      <c r="FP8" s="473" t="s">
        <v>2458</v>
      </c>
      <c r="FQ8" s="473" t="s">
        <v>573</v>
      </c>
      <c r="FR8" s="473" t="s">
        <v>2455</v>
      </c>
      <c r="FS8" s="473" t="s">
        <v>2456</v>
      </c>
      <c r="FT8" s="473" t="s">
        <v>2457</v>
      </c>
      <c r="FU8" s="473" t="s">
        <v>2458</v>
      </c>
      <c r="FV8" s="1864" t="s">
        <v>2514</v>
      </c>
      <c r="FW8" s="1864" t="s">
        <v>2514</v>
      </c>
      <c r="FX8" s="1864" t="s">
        <v>2514</v>
      </c>
      <c r="FY8" s="1864" t="s">
        <v>2514</v>
      </c>
      <c r="FZ8" s="1864" t="s">
        <v>2514</v>
      </c>
      <c r="GA8" s="1864" t="s">
        <v>3382</v>
      </c>
      <c r="GB8" s="1864" t="s">
        <v>3382</v>
      </c>
      <c r="GC8" s="1864" t="s">
        <v>3382</v>
      </c>
      <c r="GD8" s="1864" t="s">
        <v>3382</v>
      </c>
      <c r="GE8" s="1864" t="s">
        <v>3382</v>
      </c>
      <c r="GF8" s="1864" t="s">
        <v>360</v>
      </c>
      <c r="GG8" s="1864" t="s">
        <v>360</v>
      </c>
      <c r="GH8" s="1864" t="s">
        <v>360</v>
      </c>
      <c r="GI8" s="1864" t="s">
        <v>360</v>
      </c>
      <c r="GJ8" s="1864" t="s">
        <v>360</v>
      </c>
      <c r="GK8" s="1864" t="s">
        <v>3381</v>
      </c>
      <c r="GL8" s="1864" t="s">
        <v>3381</v>
      </c>
      <c r="GM8" s="1864" t="s">
        <v>3381</v>
      </c>
      <c r="GN8" s="1864" t="s">
        <v>3381</v>
      </c>
      <c r="GO8" s="1864" t="s">
        <v>3381</v>
      </c>
      <c r="GP8" s="1864" t="s">
        <v>361</v>
      </c>
      <c r="GQ8" s="1864" t="s">
        <v>361</v>
      </c>
      <c r="GR8" s="1864" t="s">
        <v>361</v>
      </c>
      <c r="GS8" s="1864" t="s">
        <v>361</v>
      </c>
      <c r="GT8" s="1864" t="s">
        <v>361</v>
      </c>
      <c r="GU8" s="1864" t="s">
        <v>3380</v>
      </c>
      <c r="GV8" s="1864" t="s">
        <v>3380</v>
      </c>
      <c r="GW8" s="1864" t="s">
        <v>3380</v>
      </c>
      <c r="GX8" s="1864" t="s">
        <v>3380</v>
      </c>
      <c r="GY8" s="1864" t="s">
        <v>3380</v>
      </c>
      <c r="GZ8" s="1864" t="s">
        <v>362</v>
      </c>
      <c r="HA8" s="1864" t="s">
        <v>362</v>
      </c>
      <c r="HB8" s="1864" t="s">
        <v>362</v>
      </c>
      <c r="HC8" s="1864" t="s">
        <v>362</v>
      </c>
      <c r="HD8" s="1864" t="s">
        <v>362</v>
      </c>
      <c r="HE8" s="1864" t="s">
        <v>3383</v>
      </c>
      <c r="HF8" s="1864" t="s">
        <v>3383</v>
      </c>
      <c r="HG8" s="1864" t="s">
        <v>3383</v>
      </c>
      <c r="HH8" s="1864" t="s">
        <v>3383</v>
      </c>
      <c r="HI8" s="1864" t="s">
        <v>3383</v>
      </c>
      <c r="HJ8" s="1864" t="s">
        <v>363</v>
      </c>
      <c r="HK8" s="1864" t="s">
        <v>363</v>
      </c>
      <c r="HL8" s="1864" t="s">
        <v>363</v>
      </c>
      <c r="HM8" s="1864" t="s">
        <v>363</v>
      </c>
      <c r="HN8" s="1864" t="s">
        <v>363</v>
      </c>
      <c r="HO8" s="1864" t="s">
        <v>3384</v>
      </c>
      <c r="HP8" s="1864" t="s">
        <v>3384</v>
      </c>
      <c r="HQ8" s="1864" t="s">
        <v>3384</v>
      </c>
      <c r="HR8" s="1864" t="s">
        <v>3384</v>
      </c>
      <c r="HS8" s="1864" t="s">
        <v>3384</v>
      </c>
      <c r="HT8" s="1864" t="s">
        <v>1473</v>
      </c>
      <c r="HU8" s="1864" t="s">
        <v>1473</v>
      </c>
      <c r="HV8" s="1864" t="s">
        <v>1473</v>
      </c>
      <c r="HW8" s="1864" t="s">
        <v>1473</v>
      </c>
      <c r="HX8" s="1864" t="s">
        <v>1473</v>
      </c>
      <c r="HY8" s="1864" t="s">
        <v>3385</v>
      </c>
      <c r="HZ8" s="1864" t="s">
        <v>3385</v>
      </c>
      <c r="IA8" s="1864" t="s">
        <v>3385</v>
      </c>
      <c r="IB8" s="1864" t="s">
        <v>3385</v>
      </c>
      <c r="IC8" s="1864" t="s">
        <v>3385</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3335</v>
      </c>
      <c r="O9" s="1585" t="s">
        <v>386</v>
      </c>
      <c r="P9" s="1884"/>
      <c r="Q9" s="1585" t="s">
        <v>3598</v>
      </c>
      <c r="R9" s="1585" t="s">
        <v>1050</v>
      </c>
      <c r="S9" s="1585" t="s">
        <v>1490</v>
      </c>
      <c r="T9" s="1585" t="s">
        <v>2713</v>
      </c>
      <c r="U9" s="1724" t="s">
        <v>1858</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2511</v>
      </c>
      <c r="EY9" s="473" t="s">
        <v>2511</v>
      </c>
      <c r="EZ9" s="473" t="s">
        <v>2511</v>
      </c>
      <c r="FA9" s="473" t="s">
        <v>2511</v>
      </c>
      <c r="FB9" s="1864"/>
      <c r="FC9" s="1864"/>
      <c r="FD9" s="1864"/>
      <c r="FE9" s="1864"/>
      <c r="FF9" s="1864"/>
      <c r="FG9" s="1864"/>
      <c r="FH9" s="1864"/>
      <c r="FI9" s="1864"/>
      <c r="FJ9" s="1864"/>
      <c r="FK9" s="1864"/>
      <c r="FL9" s="473" t="s">
        <v>2513</v>
      </c>
      <c r="FM9" s="473" t="s">
        <v>2513</v>
      </c>
      <c r="FN9" s="473" t="s">
        <v>2513</v>
      </c>
      <c r="FO9" s="473" t="s">
        <v>2513</v>
      </c>
      <c r="FP9" s="473" t="s">
        <v>2513</v>
      </c>
      <c r="FQ9" s="473" t="s">
        <v>3387</v>
      </c>
      <c r="FR9" s="473" t="s">
        <v>3387</v>
      </c>
      <c r="FS9" s="473" t="s">
        <v>3387</v>
      </c>
      <c r="FT9" s="473" t="s">
        <v>3387</v>
      </c>
      <c r="FU9" s="473" t="s">
        <v>3387</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2</v>
      </c>
      <c r="F10" s="3244">
        <v>750</v>
      </c>
      <c r="G10" s="3244">
        <v>436</v>
      </c>
      <c r="H10" s="3244">
        <v>431</v>
      </c>
      <c r="I10" s="3245">
        <f>IF(C10="",0,HLOOKUP(C10,'Part V-Utility Allowances'!$I$11:$M$21,11))</f>
        <v>96</v>
      </c>
      <c r="J10" s="3246"/>
      <c r="K10" s="629">
        <f t="shared" ref="K10:K47" si="1">MAX(0,H10-I10)</f>
        <v>335</v>
      </c>
      <c r="L10" s="629">
        <f t="shared" ref="L10:L47" si="2">MAX(0,E10*K10)</f>
        <v>670</v>
      </c>
      <c r="M10" s="3247" t="s">
        <v>3012</v>
      </c>
      <c r="N10" s="3247" t="s">
        <v>42</v>
      </c>
      <c r="O10" s="3247" t="s">
        <v>2310</v>
      </c>
      <c r="P10" s="3248" t="s">
        <v>3012</v>
      </c>
      <c r="Q10" s="3249">
        <f t="shared" ref="Q10:Q47" si="3">IF(H10="","",H10*12/0.3)</f>
        <v>17240</v>
      </c>
      <c r="R10" s="3250">
        <f>IF(H10="","",IF(C10="Efficiency",Q10/($O$6*VLOOKUP(0,'DCA Underwriting Assumptions'!$J$143:$K$148,2,FALSE)),Q10/($O$6*VLOOKUP(C10,'DCA Underwriting Assumptions'!$J$143:$K$148,2,FALSE))))</f>
        <v>0.58341793570219969</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1500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2</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1159</v>
      </c>
      <c r="C11" s="3254">
        <v>1</v>
      </c>
      <c r="D11" s="3255">
        <v>1</v>
      </c>
      <c r="E11" s="3256">
        <v>4</v>
      </c>
      <c r="F11" s="3256">
        <v>750</v>
      </c>
      <c r="G11" s="3256">
        <v>523</v>
      </c>
      <c r="H11" s="3256">
        <v>518</v>
      </c>
      <c r="I11" s="3257">
        <f>IF(C11="",0,HLOOKUP(C11,'Part V-Utility Allowances'!$I$11:$M$21,11))</f>
        <v>96</v>
      </c>
      <c r="J11" s="3258"/>
      <c r="K11" s="630">
        <f t="shared" si="1"/>
        <v>422</v>
      </c>
      <c r="L11" s="630">
        <f t="shared" si="2"/>
        <v>1688</v>
      </c>
      <c r="M11" s="3259" t="s">
        <v>3012</v>
      </c>
      <c r="N11" s="3259" t="s">
        <v>42</v>
      </c>
      <c r="O11" s="3259" t="s">
        <v>2310</v>
      </c>
      <c r="P11" s="3260" t="s">
        <v>3012</v>
      </c>
      <c r="Q11" s="3261">
        <f t="shared" si="3"/>
        <v>20720</v>
      </c>
      <c r="R11" s="3262">
        <f>IF(H11="","",IF(C11="Efficiency",Q11/($O$6*VLOOKUP(0,'DCA Underwriting Assumptions'!$J$143:$K$148,2,FALSE)),Q11/($O$6*VLOOKUP(C11,'DCA Underwriting Assumptions'!$J$143:$K$148,2,FALSE))))</f>
        <v>0.7011844331641286</v>
      </c>
      <c r="S11" s="3263"/>
      <c r="T11" s="3264"/>
      <c r="U11" s="3219"/>
      <c r="V11" s="3220"/>
      <c r="W11" s="152" t="str">
        <f t="shared" si="4"/>
        <v/>
      </c>
      <c r="X11" s="152">
        <f t="shared" si="5"/>
        <v>4</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3000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4</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f t="shared" si="170"/>
        <v>4</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4</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119</v>
      </c>
      <c r="C12" s="3254">
        <v>2</v>
      </c>
      <c r="D12" s="3255">
        <v>2</v>
      </c>
      <c r="E12" s="3256">
        <v>4</v>
      </c>
      <c r="F12" s="3256">
        <v>1050</v>
      </c>
      <c r="G12" s="3256">
        <v>523</v>
      </c>
      <c r="H12" s="3256">
        <v>518</v>
      </c>
      <c r="I12" s="3257">
        <f>IF(C12="",0,HLOOKUP(C12,'Part V-Utility Allowances'!$I$11:$M$21,11))</f>
        <v>121</v>
      </c>
      <c r="J12" s="3258"/>
      <c r="K12" s="630">
        <f t="shared" si="1"/>
        <v>397</v>
      </c>
      <c r="L12" s="630">
        <f t="shared" si="2"/>
        <v>1588</v>
      </c>
      <c r="M12" s="3259" t="s">
        <v>3012</v>
      </c>
      <c r="N12" s="3259" t="s">
        <v>42</v>
      </c>
      <c r="O12" s="3259" t="s">
        <v>2310</v>
      </c>
      <c r="P12" s="3260" t="s">
        <v>3012</v>
      </c>
      <c r="Q12" s="3261">
        <f t="shared" si="3"/>
        <v>20720</v>
      </c>
      <c r="R12" s="3262">
        <f>IF(H12="","",IF(C12="Efficiency",Q12/($O$6*VLOOKUP(0,'DCA Underwriting Assumptions'!$J$143:$K$148,2,FALSE)),Q12/($O$6*VLOOKUP(C12,'DCA Underwriting Assumptions'!$J$143:$K$148,2,FALSE))))</f>
        <v>0.5843203609701072</v>
      </c>
      <c r="S12" s="3263"/>
      <c r="T12" s="3264"/>
      <c r="U12" s="3219"/>
      <c r="V12" s="3220"/>
      <c r="W12" s="152" t="str">
        <f t="shared" si="4"/>
        <v/>
      </c>
      <c r="X12" s="152" t="str">
        <f t="shared" si="5"/>
        <v/>
      </c>
      <c r="Y12" s="152" t="str">
        <f t="shared" si="6"/>
        <v/>
      </c>
      <c r="Z12" s="152" t="str">
        <f t="shared" si="7"/>
        <v/>
      </c>
      <c r="AA12" s="152" t="str">
        <f t="shared" si="8"/>
        <v/>
      </c>
      <c r="AB12" s="152" t="str">
        <f t="shared" si="9"/>
        <v/>
      </c>
      <c r="AC12" s="152" t="str">
        <f t="shared" si="10"/>
        <v/>
      </c>
      <c r="AD12" s="152">
        <f t="shared" si="11"/>
        <v>4</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4200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4</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f t="shared" si="171"/>
        <v>4</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4</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2</v>
      </c>
      <c r="D13" s="3255">
        <v>2</v>
      </c>
      <c r="E13" s="3256">
        <v>20</v>
      </c>
      <c r="F13" s="3256">
        <v>1050</v>
      </c>
      <c r="G13" s="3256">
        <v>628</v>
      </c>
      <c r="H13" s="3256">
        <v>623</v>
      </c>
      <c r="I13" s="3257">
        <f>IF(C13="",0,HLOOKUP(C13,'Part V-Utility Allowances'!$I$11:$M$21,11))</f>
        <v>121</v>
      </c>
      <c r="J13" s="3258"/>
      <c r="K13" s="630">
        <f t="shared" si="1"/>
        <v>502</v>
      </c>
      <c r="L13" s="630">
        <f t="shared" si="2"/>
        <v>10040</v>
      </c>
      <c r="M13" s="3259" t="s">
        <v>3012</v>
      </c>
      <c r="N13" s="3259" t="s">
        <v>42</v>
      </c>
      <c r="O13" s="3259" t="s">
        <v>2310</v>
      </c>
      <c r="P13" s="3260" t="s">
        <v>3012</v>
      </c>
      <c r="Q13" s="3261">
        <f t="shared" si="3"/>
        <v>24920</v>
      </c>
      <c r="R13" s="3262">
        <f>IF(H13="","",IF(C13="Efficiency",Q13/($O$6*VLOOKUP(0,'DCA Underwriting Assumptions'!$J$143:$K$148,2,FALSE)),Q13/($O$6*VLOOKUP(C13,'DCA Underwriting Assumptions'!$J$143:$K$148,2,FALSE))))</f>
        <v>0.70276367738296674</v>
      </c>
      <c r="S13" s="3263"/>
      <c r="T13" s="3264"/>
      <c r="U13" s="3219"/>
      <c r="V13" s="3220"/>
      <c r="W13" s="152" t="str">
        <f t="shared" si="4"/>
        <v/>
      </c>
      <c r="X13" s="152" t="str">
        <f t="shared" si="5"/>
        <v/>
      </c>
      <c r="Y13" s="152">
        <f t="shared" si="6"/>
        <v>20</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21000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f t="shared" si="171"/>
        <v>20</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119</v>
      </c>
      <c r="C14" s="3254">
        <v>3</v>
      </c>
      <c r="D14" s="3255">
        <v>2</v>
      </c>
      <c r="E14" s="3256">
        <v>4</v>
      </c>
      <c r="F14" s="3256">
        <v>1250</v>
      </c>
      <c r="G14" s="3256">
        <v>605</v>
      </c>
      <c r="H14" s="3256">
        <v>600</v>
      </c>
      <c r="I14" s="3257">
        <f>IF(C14="",0,HLOOKUP(C14,'Part V-Utility Allowances'!$I$11:$M$21,11))</f>
        <v>148</v>
      </c>
      <c r="J14" s="3258"/>
      <c r="K14" s="630">
        <f t="shared" si="1"/>
        <v>452</v>
      </c>
      <c r="L14" s="630">
        <f t="shared" si="2"/>
        <v>1808</v>
      </c>
      <c r="M14" s="3259" t="s">
        <v>3012</v>
      </c>
      <c r="N14" s="3259" t="s">
        <v>42</v>
      </c>
      <c r="O14" s="3259" t="s">
        <v>2310</v>
      </c>
      <c r="P14" s="3260" t="s">
        <v>3012</v>
      </c>
      <c r="Q14" s="3261">
        <f t="shared" si="3"/>
        <v>24000</v>
      </c>
      <c r="R14" s="3262">
        <f>IF(H14="","",IF(C14="Efficiency",Q14/($O$6*VLOOKUP(0,'DCA Underwriting Assumptions'!$J$143:$K$148,2,FALSE)),Q14/($O$6*VLOOKUP(C14,'DCA Underwriting Assumptions'!$J$143:$K$148,2,FALSE))))</f>
        <v>0.5857087075361187</v>
      </c>
      <c r="S14" s="3263"/>
      <c r="T14" s="3264"/>
      <c r="U14" s="3219"/>
      <c r="V14" s="3220"/>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f t="shared" si="12"/>
        <v>4</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f t="shared" si="67"/>
        <v>5000</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f t="shared" si="92"/>
        <v>4</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f t="shared" si="172"/>
        <v>4</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4</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1159</v>
      </c>
      <c r="C15" s="3254">
        <v>3</v>
      </c>
      <c r="D15" s="3255">
        <v>2</v>
      </c>
      <c r="E15" s="3256">
        <v>16</v>
      </c>
      <c r="F15" s="3256">
        <v>1250</v>
      </c>
      <c r="G15" s="3256">
        <v>726</v>
      </c>
      <c r="H15" s="3256">
        <v>721</v>
      </c>
      <c r="I15" s="3257">
        <f>IF(C15="",0,HLOOKUP(C15,'Part V-Utility Allowances'!$I$11:$M$21,11))</f>
        <v>148</v>
      </c>
      <c r="J15" s="3258"/>
      <c r="K15" s="630">
        <f t="shared" si="1"/>
        <v>573</v>
      </c>
      <c r="L15" s="630">
        <f t="shared" si="2"/>
        <v>9168</v>
      </c>
      <c r="M15" s="3259" t="s">
        <v>3012</v>
      </c>
      <c r="N15" s="3259" t="s">
        <v>42</v>
      </c>
      <c r="O15" s="3259" t="s">
        <v>2310</v>
      </c>
      <c r="P15" s="3260" t="s">
        <v>3012</v>
      </c>
      <c r="Q15" s="3261">
        <f t="shared" si="3"/>
        <v>28840</v>
      </c>
      <c r="R15" s="3262">
        <f>IF(H15="","",IF(C15="Efficiency",Q15/($O$6*VLOOKUP(0,'DCA Underwriting Assumptions'!$J$143:$K$148,2,FALSE)),Q15/($O$6*VLOOKUP(C15,'DCA Underwriting Assumptions'!$J$143:$K$148,2,FALSE))))</f>
        <v>0.7038266302225693</v>
      </c>
      <c r="S15" s="3263"/>
      <c r="T15" s="3264"/>
      <c r="U15" s="3219"/>
      <c r="V15" s="3220"/>
      <c r="W15" s="152" t="str">
        <f t="shared" si="4"/>
        <v/>
      </c>
      <c r="X15" s="152" t="str">
        <f t="shared" si="5"/>
        <v/>
      </c>
      <c r="Y15" s="152" t="str">
        <f t="shared" si="6"/>
        <v/>
      </c>
      <c r="Z15" s="152">
        <f t="shared" si="7"/>
        <v>16</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20000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16</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f t="shared" si="172"/>
        <v>16</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16</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50</v>
      </c>
      <c r="F48" s="974">
        <f>(E10*F10+E11*F11+E12*F12+E13*F13+E14*F14+E15*F15+E16*F16+E17*F17+E18*F18+E19*F19+E20*F20+E21*F21+E22*F22+E23*F23+E24*F24+E25*F25+E26*F26+E27*F27+E28*F28+E29*F29+E30*F30+E31*F31+E32*F32+E33*F33+E34*F34+E35*F35+E36*F36+E37*F37+E38*F38+E39*F39+E40*F40+E41*F41+E42*F42+E43*F43+E44*F44+E45*F45+E46*F46+E47*F47)</f>
        <v>54700</v>
      </c>
      <c r="G48" s="603"/>
      <c r="H48" s="604"/>
      <c r="I48" s="604"/>
      <c r="J48" s="604"/>
      <c r="K48" s="977" t="s">
        <v>1314</v>
      </c>
      <c r="L48" s="127">
        <f>SUM(L10:L47)</f>
        <v>24962</v>
      </c>
      <c r="M48" s="97"/>
      <c r="N48" s="605"/>
      <c r="O48" s="97"/>
      <c r="P48" s="490"/>
      <c r="Q48" s="490"/>
      <c r="R48" s="490"/>
      <c r="S48" s="490"/>
      <c r="T48" s="490"/>
      <c r="U48" s="955"/>
      <c r="V48" s="606"/>
      <c r="W48" s="607">
        <f t="shared" ref="W48:CH48" si="259">SUM(W10:W47)</f>
        <v>0</v>
      </c>
      <c r="X48" s="607">
        <f t="shared" si="259"/>
        <v>4</v>
      </c>
      <c r="Y48" s="607">
        <f t="shared" si="259"/>
        <v>20</v>
      </c>
      <c r="Z48" s="607">
        <f t="shared" si="259"/>
        <v>16</v>
      </c>
      <c r="AA48" s="607">
        <f t="shared" si="259"/>
        <v>0</v>
      </c>
      <c r="AB48" s="607">
        <f t="shared" si="259"/>
        <v>0</v>
      </c>
      <c r="AC48" s="607">
        <f t="shared" si="259"/>
        <v>2</v>
      </c>
      <c r="AD48" s="607">
        <f t="shared" si="259"/>
        <v>4</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3000</v>
      </c>
      <c r="CB48" s="607">
        <f t="shared" si="259"/>
        <v>21000</v>
      </c>
      <c r="CC48" s="607">
        <f t="shared" si="259"/>
        <v>20000</v>
      </c>
      <c r="CD48" s="607">
        <f t="shared" si="259"/>
        <v>0</v>
      </c>
      <c r="CE48" s="607">
        <f t="shared" si="259"/>
        <v>0</v>
      </c>
      <c r="CF48" s="607">
        <f t="shared" si="259"/>
        <v>1500</v>
      </c>
      <c r="CG48" s="607">
        <f t="shared" si="259"/>
        <v>4200</v>
      </c>
      <c r="CH48" s="607">
        <f t="shared" si="259"/>
        <v>5000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24</v>
      </c>
      <c r="DG48" s="607">
        <f t="shared" si="260"/>
        <v>20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6</v>
      </c>
      <c r="GH48" s="476">
        <f t="shared" si="261"/>
        <v>24</v>
      </c>
      <c r="GI48" s="476">
        <f t="shared" si="261"/>
        <v>20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24</v>
      </c>
      <c r="JK48" s="476">
        <f t="shared" si="262"/>
        <v>20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299544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2637</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1858</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20</v>
      </c>
      <c r="M56" s="1029">
        <f>Z48</f>
        <v>16</v>
      </c>
      <c r="N56" s="1029">
        <f>AA48</f>
        <v>0</v>
      </c>
      <c r="O56" s="1029">
        <f t="shared" ref="O56:O62" si="263">SUM(J56:N56)</f>
        <v>40</v>
      </c>
      <c r="P56" s="1868" t="s">
        <v>3694</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4</v>
      </c>
      <c r="M57" s="636">
        <f>AE48</f>
        <v>4</v>
      </c>
      <c r="N57" s="636">
        <f>AF48</f>
        <v>0</v>
      </c>
      <c r="O57" s="636">
        <f t="shared" si="263"/>
        <v>10</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6</v>
      </c>
      <c r="L58" s="632">
        <f>SUM(L56:L57)</f>
        <v>24</v>
      </c>
      <c r="M58" s="632">
        <f>SUM(M56:M57)</f>
        <v>20</v>
      </c>
      <c r="N58" s="632">
        <f>SUM(N56:N57)</f>
        <v>0</v>
      </c>
      <c r="O58" s="632">
        <f t="shared" si="263"/>
        <v>50</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6</v>
      </c>
      <c r="L60" s="632">
        <f>SUM(L58:L59)</f>
        <v>24</v>
      </c>
      <c r="M60" s="632">
        <f>SUM(M58:M59)</f>
        <v>20</v>
      </c>
      <c r="N60" s="632">
        <f>SUM(N58:N59)</f>
        <v>0</v>
      </c>
      <c r="O60" s="632">
        <f t="shared" si="263"/>
        <v>50</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2527</v>
      </c>
      <c r="D61" s="1"/>
      <c r="E61" s="1"/>
      <c r="F61" s="1"/>
      <c r="G61" s="85"/>
      <c r="H61" s="37"/>
      <c r="I61" s="85"/>
      <c r="J61" s="633">
        <f>BU48</f>
        <v>0</v>
      </c>
      <c r="K61" s="633">
        <f>BV48</f>
        <v>0</v>
      </c>
      <c r="L61" s="633">
        <f>BW48</f>
        <v>0</v>
      </c>
      <c r="M61" s="633">
        <f>BX48</f>
        <v>0</v>
      </c>
      <c r="N61" s="633">
        <f>BY48</f>
        <v>0</v>
      </c>
      <c r="O61" s="633">
        <f t="shared" si="263"/>
        <v>0</v>
      </c>
      <c r="P61" s="517" t="s">
        <v>3695</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6</v>
      </c>
      <c r="L62" s="634">
        <f>SUM(L60:L61)</f>
        <v>24</v>
      </c>
      <c r="M62" s="634">
        <f>SUM(M60:M61)</f>
        <v>20</v>
      </c>
      <c r="N62" s="634">
        <f>SUM(N60:N61)</f>
        <v>0</v>
      </c>
      <c r="O62" s="634">
        <f t="shared" si="263"/>
        <v>50</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2528</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2528</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2310</v>
      </c>
      <c r="F72" s="1"/>
      <c r="G72" s="85"/>
      <c r="H72" s="37" t="s">
        <v>1444</v>
      </c>
      <c r="I72" s="85"/>
      <c r="J72" s="632">
        <f>DD48</f>
        <v>0</v>
      </c>
      <c r="K72" s="632">
        <f>DE48</f>
        <v>6</v>
      </c>
      <c r="L72" s="632">
        <f>DF48</f>
        <v>24</v>
      </c>
      <c r="M72" s="632">
        <f>DG48</f>
        <v>20</v>
      </c>
      <c r="N72" s="632">
        <f>DH48</f>
        <v>0</v>
      </c>
      <c r="O72" s="632">
        <f t="shared" ref="O72:O82" si="264">SUM(J72:N72)</f>
        <v>50</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6</v>
      </c>
      <c r="L74" s="634">
        <f>SUM(L72:L73)+DP48</f>
        <v>24</v>
      </c>
      <c r="M74" s="634">
        <f>SUM(M72:M73)+DQ48</f>
        <v>20</v>
      </c>
      <c r="N74" s="634">
        <f>SUM(N72:N73)+DR48</f>
        <v>0</v>
      </c>
      <c r="O74" s="634">
        <f t="shared" si="264"/>
        <v>50</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2152</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3416</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3377</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4131</v>
      </c>
      <c r="D86" s="1861"/>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2620</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3377</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2621</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3377</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2623</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3377</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2622</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3377</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3377</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6</v>
      </c>
      <c r="L97" s="637">
        <f>GH48</f>
        <v>24</v>
      </c>
      <c r="M97" s="637">
        <f>GI48</f>
        <v>20</v>
      </c>
      <c r="N97" s="637">
        <f>GJ48</f>
        <v>0</v>
      </c>
      <c r="O97" s="637">
        <f t="shared" si="266"/>
        <v>50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3377</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3377</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3377</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4130</v>
      </c>
      <c r="D104" s="1861"/>
      <c r="E104" s="1263" t="s">
        <v>3372</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3377</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3373</v>
      </c>
      <c r="F106" s="517"/>
      <c r="G106" s="157"/>
      <c r="H106" s="517"/>
      <c r="I106" s="1267"/>
      <c r="J106" s="1025">
        <f>J87+J97</f>
        <v>0</v>
      </c>
      <c r="K106" s="1025">
        <f t="shared" ref="K106:N107" si="269">K87+K97</f>
        <v>6</v>
      </c>
      <c r="L106" s="1025">
        <f t="shared" si="269"/>
        <v>24</v>
      </c>
      <c r="M106" s="1025">
        <f t="shared" si="269"/>
        <v>20</v>
      </c>
      <c r="N106" s="1025">
        <f t="shared" si="269"/>
        <v>0</v>
      </c>
      <c r="O106" s="1025">
        <f t="shared" si="268"/>
        <v>50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3377</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3374</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3377</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3375</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3377</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2180</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2151</v>
      </c>
      <c r="D113" s="1"/>
      <c r="E113" s="1"/>
      <c r="F113" s="1"/>
      <c r="G113" s="85"/>
      <c r="H113" s="41" t="s">
        <v>1159</v>
      </c>
      <c r="I113" s="85"/>
      <c r="J113" s="1027">
        <f>BZ48</f>
        <v>0</v>
      </c>
      <c r="K113" s="1027">
        <f>CA48</f>
        <v>3000</v>
      </c>
      <c r="L113" s="1027">
        <f>CB48</f>
        <v>21000</v>
      </c>
      <c r="M113" s="1027">
        <f>CC48</f>
        <v>20000</v>
      </c>
      <c r="N113" s="1027">
        <f>CD48</f>
        <v>0</v>
      </c>
      <c r="O113" s="1027">
        <f t="shared" ref="O113:O119" si="272">SUM(J113:N113)</f>
        <v>44000</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1500</v>
      </c>
      <c r="L114" s="1028">
        <f>CG48</f>
        <v>4200</v>
      </c>
      <c r="M114" s="1028">
        <f>CH48</f>
        <v>5000</v>
      </c>
      <c r="N114" s="1028">
        <f>CI48</f>
        <v>0</v>
      </c>
      <c r="O114" s="1028">
        <f t="shared" si="272"/>
        <v>10700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4500</v>
      </c>
      <c r="L115" s="641">
        <f>SUM(L113:L114)</f>
        <v>25200</v>
      </c>
      <c r="M115" s="641">
        <f>SUM(M113:M114)</f>
        <v>25000</v>
      </c>
      <c r="N115" s="641">
        <f>SUM(N113:N114)</f>
        <v>0</v>
      </c>
      <c r="O115" s="641">
        <f t="shared" si="272"/>
        <v>54700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4500</v>
      </c>
      <c r="L117" s="641">
        <f>SUM(L115:L116)</f>
        <v>25200</v>
      </c>
      <c r="M117" s="641">
        <f>SUM(M115:M116)</f>
        <v>25000</v>
      </c>
      <c r="N117" s="641">
        <f>SUM(N115:N116)</f>
        <v>0</v>
      </c>
      <c r="O117" s="641">
        <f t="shared" si="272"/>
        <v>54700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4500</v>
      </c>
      <c r="L119" s="643">
        <f>SUM(L117:L118)</f>
        <v>25200</v>
      </c>
      <c r="M119" s="643">
        <f>SUM(M117:M118)</f>
        <v>25000</v>
      </c>
      <c r="N119" s="643">
        <f>SUM(N117:N118)</f>
        <v>0</v>
      </c>
      <c r="O119" s="643">
        <f t="shared" si="272"/>
        <v>54700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1858</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5990.88</v>
      </c>
      <c r="I122" s="3285"/>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2301</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2301</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2301</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2301</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2211</v>
      </c>
      <c r="C164" s="1"/>
      <c r="D164" s="1"/>
      <c r="E164" s="1"/>
      <c r="F164" s="3293">
        <v>44804</v>
      </c>
      <c r="G164" s="3294"/>
      <c r="H164" s="1"/>
      <c r="I164" s="1" t="s">
        <v>1390</v>
      </c>
      <c r="J164" s="1"/>
      <c r="K164" s="3293"/>
      <c r="L164" s="3294"/>
      <c r="M164" s="1"/>
      <c r="N164" s="1" t="s">
        <v>938</v>
      </c>
      <c r="O164" s="1"/>
      <c r="P164" s="3295">
        <v>25000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21076</v>
      </c>
      <c r="G165" s="3294"/>
      <c r="H165" s="1"/>
      <c r="I165" s="1" t="s">
        <v>1391</v>
      </c>
      <c r="J165" s="1"/>
      <c r="K165" s="3293">
        <v>600</v>
      </c>
      <c r="L165" s="3294"/>
      <c r="M165" s="1"/>
      <c r="N165" s="1" t="s">
        <v>148</v>
      </c>
      <c r="O165" s="1"/>
      <c r="P165" s="3295">
        <v>16070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c r="G166" s="3294"/>
      <c r="H166" s="1"/>
      <c r="I166" s="1"/>
      <c r="J166" s="126" t="s">
        <v>193</v>
      </c>
      <c r="K166" s="1858">
        <f>SUM(K164:L165)</f>
        <v>600</v>
      </c>
      <c r="L166" s="1859"/>
      <c r="M166" s="1"/>
      <c r="N166" s="3296" t="s">
        <v>4619</v>
      </c>
      <c r="O166" s="3297"/>
      <c r="P166" s="3298">
        <v>1500</v>
      </c>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4687</v>
      </c>
      <c r="C167" s="3300"/>
      <c r="D167" s="3300"/>
      <c r="E167" s="3301"/>
      <c r="F167" s="3302">
        <v>10000</v>
      </c>
      <c r="G167" s="3303"/>
      <c r="H167" s="1"/>
      <c r="I167" s="1"/>
      <c r="J167" s="1"/>
      <c r="K167" s="1"/>
      <c r="L167" s="1"/>
      <c r="M167" s="1"/>
      <c r="N167" s="12" t="s">
        <v>193</v>
      </c>
      <c r="O167" s="1"/>
      <c r="P167" s="419">
        <f>SUM(P164:P166)</f>
        <v>42570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75880</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24000</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1750</v>
      </c>
      <c r="G171" s="3294"/>
      <c r="H171" s="1"/>
      <c r="I171" s="1" t="s">
        <v>1614</v>
      </c>
      <c r="J171" s="1"/>
      <c r="K171" s="3304">
        <v>1000</v>
      </c>
      <c r="L171" s="3305"/>
      <c r="M171" s="1"/>
      <c r="N171" s="408">
        <f>+P170/(O62*0.93)</f>
        <v>516.12903225806451</v>
      </c>
      <c r="O171" s="69" t="s">
        <v>2773</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4500</v>
      </c>
      <c r="G172" s="3294"/>
      <c r="H172" s="1"/>
      <c r="I172" s="1" t="s">
        <v>2064</v>
      </c>
      <c r="J172" s="1"/>
      <c r="K172" s="3306">
        <v>7000</v>
      </c>
      <c r="L172" s="3307"/>
      <c r="M172" s="1"/>
      <c r="N172" s="408">
        <f>+P170/(O62*0.93)/12</f>
        <v>43.01075268817204</v>
      </c>
      <c r="O172" s="69" t="s">
        <v>2774</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c r="G173" s="3294"/>
      <c r="H173" s="1"/>
      <c r="I173" s="1" t="s">
        <v>1615</v>
      </c>
      <c r="J173" s="1"/>
      <c r="K173" s="3306">
        <v>1000</v>
      </c>
      <c r="L173" s="3307"/>
      <c r="M173" s="1"/>
      <c r="N173" s="37" t="s">
        <v>3756</v>
      </c>
      <c r="O173" s="1041"/>
      <c r="P173" s="1041"/>
      <c r="Q173" s="1602"/>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2356</v>
      </c>
      <c r="C174" s="1"/>
      <c r="D174" s="9"/>
      <c r="E174" s="1"/>
      <c r="F174" s="3293"/>
      <c r="G174" s="3294"/>
      <c r="H174" s="1"/>
      <c r="I174" s="3296" t="s">
        <v>52</v>
      </c>
      <c r="J174" s="3297"/>
      <c r="K174" s="3304"/>
      <c r="L174" s="3305"/>
      <c r="M174" s="1"/>
      <c r="N174" s="1041"/>
      <c r="O174" s="1041"/>
      <c r="P174" s="1041"/>
      <c r="Q174" s="1602"/>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c r="G175" s="3294"/>
      <c r="H175" s="1"/>
      <c r="I175" s="10"/>
      <c r="J175" s="12" t="s">
        <v>193</v>
      </c>
      <c r="K175" s="1850">
        <f>SUM(K171:K174)</f>
        <v>9000</v>
      </c>
      <c r="L175" s="1851"/>
      <c r="M175" s="1860" t="str">
        <f>IF(P177="","",IF(P175&lt;P177, "WARNING! OE below required minimum.",""))</f>
        <v/>
      </c>
      <c r="N175" s="10" t="s">
        <v>2201</v>
      </c>
      <c r="O175" s="5"/>
      <c r="P175" s="417">
        <f>F168+F177+F188+K166+K175+K185+P167+P170</f>
        <v>212250</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4617</v>
      </c>
      <c r="C176" s="3300"/>
      <c r="D176" s="3300"/>
      <c r="E176" s="3301"/>
      <c r="F176" s="3302">
        <v>7000</v>
      </c>
      <c r="G176" s="3303"/>
      <c r="H176" s="1"/>
      <c r="I176" s="1"/>
      <c r="J176" s="13"/>
      <c r="K176" s="1"/>
      <c r="L176" s="1"/>
      <c r="M176" s="1860"/>
      <c r="N176" s="69" t="s">
        <v>2775</v>
      </c>
      <c r="O176" s="408">
        <f>+P175/O62</f>
        <v>4245</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13250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150000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2772</v>
      </c>
      <c r="K179" s="1"/>
      <c r="L179" s="1"/>
      <c r="M179" s="1"/>
      <c r="N179" s="10" t="s">
        <v>3503</v>
      </c>
      <c r="O179" s="10"/>
      <c r="P179" s="3308">
        <f>P188</f>
        <v>12500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c r="G180" s="3310"/>
      <c r="H180" s="1"/>
      <c r="I180" s="1" t="s">
        <v>1380</v>
      </c>
      <c r="J180" s="481">
        <f>K180/12/O62</f>
        <v>12</v>
      </c>
      <c r="K180" s="3306">
        <v>7200</v>
      </c>
      <c r="L180" s="3307"/>
      <c r="M180" s="1854" t="str">
        <f>IF(P179&lt;P188, "WARNING! RR proposed is below the DCA required minimum.","")</f>
        <v/>
      </c>
      <c r="N180" s="1064" t="s">
        <v>3765</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4500</v>
      </c>
      <c r="G181" s="3310"/>
      <c r="H181" s="1"/>
      <c r="I181" s="1" t="s">
        <v>1381</v>
      </c>
      <c r="J181" s="481">
        <f>K181/12/O62</f>
        <v>0</v>
      </c>
      <c r="K181" s="3306"/>
      <c r="L181" s="3307"/>
      <c r="M181" s="1854"/>
      <c r="N181" s="1855" t="s">
        <v>3764</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15000</v>
      </c>
      <c r="G182" s="3310"/>
      <c r="H182" s="1"/>
      <c r="I182" s="1" t="s">
        <v>2367</v>
      </c>
      <c r="J182" s="481">
        <f>K182/12/O62</f>
        <v>13.166666666666668</v>
      </c>
      <c r="K182" s="3306">
        <v>7900</v>
      </c>
      <c r="L182" s="3307"/>
      <c r="M182" s="1854"/>
      <c r="N182" s="1058" t="s">
        <v>2731</v>
      </c>
      <c r="O182" s="922" t="s">
        <v>3878</v>
      </c>
      <c r="P182" s="1060" t="s">
        <v>3458</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5500</v>
      </c>
      <c r="G183" s="3294"/>
      <c r="H183" s="1"/>
      <c r="I183" s="1" t="s">
        <v>1383</v>
      </c>
      <c r="J183" s="1"/>
      <c r="K183" s="3306">
        <v>3900</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1250</v>
      </c>
      <c r="G184" s="3294"/>
      <c r="H184" s="1"/>
      <c r="I184" s="3296" t="s">
        <v>4618</v>
      </c>
      <c r="J184" s="3297"/>
      <c r="K184" s="3304">
        <v>1200</v>
      </c>
      <c r="L184" s="3305"/>
      <c r="M184" s="1854"/>
      <c r="N184" s="516" t="s">
        <v>3450</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c r="G185" s="3294"/>
      <c r="H185" s="1"/>
      <c r="I185" s="1"/>
      <c r="J185" s="12" t="s">
        <v>193</v>
      </c>
      <c r="K185" s="1850">
        <f>SUM(K180:K184)</f>
        <v>20200</v>
      </c>
      <c r="L185" s="1851"/>
      <c r="M185" s="1854"/>
      <c r="N185" s="516" t="s">
        <v>3449</v>
      </c>
      <c r="O185" s="929" t="str">
        <f>CONCATENATE(SUM(JH48:JL48)," units x $",'DCA Underwriting Assumptions'!$Q$66," =")</f>
        <v>50 units x $250 =</v>
      </c>
      <c r="P185" s="675">
        <f>SUM(JH48:JL48)*'DCA Underwriting Assumptions'!$Q$66</f>
        <v>12500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500</v>
      </c>
      <c r="G186" s="3294"/>
      <c r="H186" s="1"/>
      <c r="I186" s="1"/>
      <c r="J186" s="13"/>
      <c r="K186" s="1"/>
      <c r="L186" s="1"/>
      <c r="M186" s="1854"/>
      <c r="N186" s="676" t="s">
        <v>3453</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3448</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26750</v>
      </c>
      <c r="G188" s="1853"/>
      <c r="H188" s="1"/>
      <c r="I188" s="1"/>
      <c r="J188" s="13"/>
      <c r="K188" s="1"/>
      <c r="L188" s="1"/>
      <c r="M188" s="1"/>
      <c r="N188" s="1061" t="s">
        <v>2734</v>
      </c>
      <c r="O188" s="1062">
        <f>SUM(JC48:JG48)+SUM(JH48:JL48)+SUM(JM48:JQ48)+O84</f>
        <v>50</v>
      </c>
      <c r="P188" s="1063">
        <f>SUM(P184:P187)</f>
        <v>12500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2202</v>
      </c>
      <c r="O190" s="1"/>
      <c r="P190" s="417">
        <f>P175+P179</f>
        <v>224750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3312" t="s">
        <v>4620</v>
      </c>
      <c r="B193" s="3312"/>
      <c r="C193" s="3312"/>
      <c r="D193" s="3312"/>
      <c r="E193" s="3312"/>
      <c r="F193" s="3312"/>
      <c r="G193" s="3312"/>
      <c r="H193" s="3312"/>
      <c r="I193" s="3312"/>
      <c r="J193" s="3312"/>
      <c r="K193" s="3312"/>
      <c r="L193" s="3312"/>
      <c r="M193" s="3313"/>
      <c r="N193" s="3313"/>
      <c r="O193" s="3313"/>
      <c r="P193" s="3313"/>
      <c r="Q193" s="1847" t="s">
        <v>4153</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JeQ80cYEo4k/Jbnn38bAK5g4iEwSGF2mIe6aME0CACGYb27Of/+N27RRoq07pczq3FPGNyu7pwTfBlBzaCdFZQ==" saltValue="++smnT4U0neBC4NMmn//xQ=="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30" priority="6" stopIfTrue="1" operator="greaterThan">
      <formula>0</formula>
    </cfRule>
  </conditionalFormatting>
  <conditionalFormatting sqref="O122">
    <cfRule type="cellIs" dxfId="29" priority="3" operator="greaterThan">
      <formula>0.02</formula>
    </cfRule>
  </conditionalFormatting>
  <conditionalFormatting sqref="P10:P47">
    <cfRule type="expression" dxfId="28"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27"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2018-030 Sparrow Pointe at Forest Hill, Moultrie, Colquitt County</v>
      </c>
      <c r="B1" s="3214"/>
      <c r="C1" s="3214"/>
      <c r="D1" s="3214"/>
      <c r="E1" s="3214"/>
      <c r="F1" s="3214"/>
      <c r="G1" s="3214"/>
      <c r="H1" s="3214"/>
      <c r="I1" s="3214"/>
      <c r="J1" s="3214"/>
      <c r="K1" s="3215"/>
      <c r="L1" s="10"/>
      <c r="M1" s="10"/>
      <c r="N1" s="1890" t="str">
        <f>A1</f>
        <v>PART SEVEN - OPERATING PRO FORMA  -  2018-030 Sparrow Pointe at Forest Hill, Moultrie, Colquitt County</v>
      </c>
      <c r="O1" s="1890"/>
      <c r="P1" s="10"/>
    </row>
    <row r="2" spans="1:19" ht="13.5" customHeight="1">
      <c r="A2" s="511"/>
      <c r="B2" s="511"/>
      <c r="C2" s="511"/>
      <c r="D2" s="511"/>
      <c r="E2" s="511"/>
      <c r="F2" s="511"/>
      <c r="G2" s="511"/>
      <c r="H2" s="511"/>
      <c r="I2" s="511"/>
      <c r="J2" s="511"/>
      <c r="K2" s="511"/>
      <c r="N2" s="1891" t="s">
        <v>1858</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2203</v>
      </c>
      <c r="B5" s="80">
        <v>0.02</v>
      </c>
      <c r="C5" s="17"/>
      <c r="D5" s="1862" t="s">
        <v>4234</v>
      </c>
      <c r="E5" s="1862"/>
      <c r="F5" s="1862"/>
      <c r="G5" s="3216">
        <v>5000</v>
      </c>
      <c r="H5" s="99" t="s">
        <v>1921</v>
      </c>
      <c r="K5" s="104">
        <f>IF(($B$14+$B$15+$B$16+$B$17)=0,"",B28/($B$14+$B$15+$B$16+$B$17))</f>
        <v>-1.7596498592964267E-2</v>
      </c>
      <c r="N5" s="3217"/>
      <c r="O5" s="3218"/>
    </row>
    <row r="6" spans="1:19">
      <c r="A6" s="17" t="s">
        <v>2204</v>
      </c>
      <c r="B6" s="80">
        <v>0.03</v>
      </c>
      <c r="C6" s="17"/>
      <c r="D6" s="1862"/>
      <c r="E6" s="1862"/>
      <c r="F6" s="1862"/>
      <c r="G6" s="1364">
        <f>IF(OR('Part III-Sources of Funds'!B11="Yes",'Part III-Sources of Funds'!E11&gt;0),'DCA Underwriting Assumptions'!$Q$95,0)</f>
        <v>0</v>
      </c>
      <c r="H6" s="17"/>
      <c r="I6" s="17"/>
      <c r="J6" s="17"/>
      <c r="K6" s="17"/>
      <c r="N6" s="3219"/>
      <c r="O6" s="3220"/>
    </row>
    <row r="7" spans="1:19">
      <c r="A7" s="17" t="s">
        <v>2206</v>
      </c>
      <c r="B7" s="80">
        <v>0.03</v>
      </c>
      <c r="C7" s="17"/>
      <c r="D7" s="82" t="s">
        <v>272</v>
      </c>
      <c r="G7" s="84"/>
      <c r="H7" s="99" t="s">
        <v>2389</v>
      </c>
      <c r="K7" s="104">
        <f>IF(($B$14+$B$15+$B$16+$B$17)=0,"",-B20/($B$14+$B$15+$B$16+$B$17))</f>
        <v>8.4463193246228474E-2</v>
      </c>
      <c r="N7" s="3219"/>
      <c r="O7" s="3220"/>
    </row>
    <row r="8" spans="1:19" ht="13.15" customHeight="1">
      <c r="A8" s="17" t="s">
        <v>2205</v>
      </c>
      <c r="B8" s="3221">
        <v>7.0000000000000007E-2</v>
      </c>
      <c r="C8" s="17"/>
      <c r="D8" s="81" t="s">
        <v>2524</v>
      </c>
      <c r="G8" s="3222" t="s">
        <v>3009</v>
      </c>
      <c r="H8" s="169" t="s">
        <v>1456</v>
      </c>
      <c r="K8" s="3223">
        <v>24000</v>
      </c>
      <c r="N8" s="3219"/>
      <c r="O8" s="3220"/>
    </row>
    <row r="9" spans="1:19">
      <c r="A9" s="17" t="s">
        <v>1430</v>
      </c>
      <c r="B9" s="80">
        <v>0.02</v>
      </c>
      <c r="D9" s="81" t="s">
        <v>1731</v>
      </c>
      <c r="G9" s="3222"/>
      <c r="H9" s="169" t="s">
        <v>2371</v>
      </c>
      <c r="K9" s="3224"/>
      <c r="N9" s="3225"/>
      <c r="O9" s="3226"/>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2640</v>
      </c>
      <c r="O13" s="1724"/>
    </row>
    <row r="14" spans="1:19" ht="13.15" customHeight="1">
      <c r="A14" s="19" t="s">
        <v>2419</v>
      </c>
      <c r="B14" s="20">
        <f>'Part VI-Revenues &amp; Expenses'!$L$49</f>
        <v>299544</v>
      </c>
      <c r="C14" s="20">
        <f t="shared" ref="C14:K14" si="1">$B$14*(1+$B$5)^(C13-1)</f>
        <v>305534.88</v>
      </c>
      <c r="D14" s="20">
        <f t="shared" si="1"/>
        <v>311645.57760000002</v>
      </c>
      <c r="E14" s="20">
        <f t="shared" si="1"/>
        <v>317878.48915199999</v>
      </c>
      <c r="F14" s="20">
        <f t="shared" si="1"/>
        <v>324236.05893503997</v>
      </c>
      <c r="G14" s="20">
        <f t="shared" si="1"/>
        <v>330720.78011374082</v>
      </c>
      <c r="H14" s="20">
        <f t="shared" si="1"/>
        <v>337335.19571601565</v>
      </c>
      <c r="I14" s="20">
        <f t="shared" si="1"/>
        <v>344081.89963033586</v>
      </c>
      <c r="J14" s="20">
        <f t="shared" si="1"/>
        <v>350963.53762294265</v>
      </c>
      <c r="K14" s="21">
        <f t="shared" si="1"/>
        <v>357982.80837540148</v>
      </c>
      <c r="N14" s="3217"/>
      <c r="O14" s="3218"/>
      <c r="S14" s="1885" t="s">
        <v>4239</v>
      </c>
    </row>
    <row r="15" spans="1:19" ht="13.15" customHeight="1">
      <c r="A15" s="22" t="s">
        <v>1026</v>
      </c>
      <c r="B15" s="23">
        <f>MIN(B14*B9,'Part VI-Revenues &amp; Expenses'!$H$122)</f>
        <v>5990.88</v>
      </c>
      <c r="C15" s="23">
        <f t="shared" ref="C15:K15" si="2">$B$15*(1+$B$5)^(C13-1)</f>
        <v>6110.6976000000004</v>
      </c>
      <c r="D15" s="23">
        <f t="shared" si="2"/>
        <v>6232.9115520000005</v>
      </c>
      <c r="E15" s="23">
        <f t="shared" si="2"/>
        <v>6357.5697830399995</v>
      </c>
      <c r="F15" s="23">
        <f t="shared" si="2"/>
        <v>6484.7211787008</v>
      </c>
      <c r="G15" s="23">
        <f t="shared" si="2"/>
        <v>6614.4156022748166</v>
      </c>
      <c r="H15" s="23">
        <f t="shared" si="2"/>
        <v>6746.7039143203128</v>
      </c>
      <c r="I15" s="23">
        <f t="shared" si="2"/>
        <v>6881.6379926067175</v>
      </c>
      <c r="J15" s="23">
        <f t="shared" si="2"/>
        <v>7019.2707524588523</v>
      </c>
      <c r="K15" s="24">
        <f t="shared" si="2"/>
        <v>7159.6561675080293</v>
      </c>
      <c r="N15" s="3219"/>
      <c r="O15" s="3220"/>
      <c r="S15" s="1886"/>
    </row>
    <row r="16" spans="1:19" ht="13.15" customHeight="1">
      <c r="A16" s="22" t="s">
        <v>2420</v>
      </c>
      <c r="B16" s="23">
        <f t="shared" ref="B16:K16" si="3">-(B14+B15)*$B$8</f>
        <v>-21387.441600000002</v>
      </c>
      <c r="C16" s="23">
        <f t="shared" si="3"/>
        <v>-21815.190432000003</v>
      </c>
      <c r="D16" s="23">
        <f t="shared" si="3"/>
        <v>-22251.49424064</v>
      </c>
      <c r="E16" s="23">
        <f t="shared" si="3"/>
        <v>-22696.524125452801</v>
      </c>
      <c r="F16" s="23">
        <f t="shared" si="3"/>
        <v>-23150.454607961856</v>
      </c>
      <c r="G16" s="23">
        <f t="shared" si="3"/>
        <v>-23613.463700121098</v>
      </c>
      <c r="H16" s="23">
        <f t="shared" si="3"/>
        <v>-24085.732974123519</v>
      </c>
      <c r="I16" s="23">
        <f t="shared" si="3"/>
        <v>-24567.447633605985</v>
      </c>
      <c r="J16" s="23">
        <f t="shared" si="3"/>
        <v>-25058.796586278106</v>
      </c>
      <c r="K16" s="24">
        <f t="shared" si="3"/>
        <v>-25559.972518003669</v>
      </c>
      <c r="N16" s="3219"/>
      <c r="O16" s="3220"/>
      <c r="Q16" s="1888" t="s">
        <v>3913</v>
      </c>
      <c r="R16" s="1888" t="s">
        <v>4238</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-188250</v>
      </c>
      <c r="C19" s="23">
        <f t="shared" ref="C19:K19" si="4">$B$19*(1+$B$6)^(C13-1)</f>
        <v>-193897.5</v>
      </c>
      <c r="D19" s="23">
        <f t="shared" si="4"/>
        <v>-199714.42499999999</v>
      </c>
      <c r="E19" s="23">
        <f t="shared" si="4"/>
        <v>-205705.85775</v>
      </c>
      <c r="F19" s="23">
        <f t="shared" si="4"/>
        <v>-211877.03348249997</v>
      </c>
      <c r="G19" s="23">
        <f t="shared" si="4"/>
        <v>-218233.34448697497</v>
      </c>
      <c r="H19" s="23">
        <f t="shared" si="4"/>
        <v>-224780.34482158424</v>
      </c>
      <c r="I19" s="23">
        <f t="shared" si="4"/>
        <v>-231523.75516623177</v>
      </c>
      <c r="J19" s="23">
        <f t="shared" si="4"/>
        <v>-238469.46782121871</v>
      </c>
      <c r="K19" s="24">
        <f t="shared" si="4"/>
        <v>-245623.55185585527</v>
      </c>
      <c r="N19" s="3219"/>
      <c r="O19" s="3220"/>
      <c r="Q19" s="63">
        <v>1</v>
      </c>
      <c r="R19" s="1197">
        <f>-B29</f>
        <v>20996</v>
      </c>
      <c r="S19" s="1197">
        <f>B30+R19</f>
        <v>54397.438399999985</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-24000</v>
      </c>
      <c r="C20" s="23">
        <f>IF(AND('Part VII-Pro Forma'!$G$8="Yes",'Part VII-Pro Forma'!$G$9="Yes"),"Choose One!",IF('Part VII-Pro Forma'!$G$8="Yes",ROUND((-$K$8*(1+'Part VII-Pro Forma'!$B$6)^('Part VII-Pro Forma'!C13-1)),),IF('Part VII-Pro Forma'!$G$9="Yes",ROUND((-(SUM(C14:C17)*'Part VII-Pro Forma'!$K$9)),),"Choose mgt fee")))</f>
        <v>-24720</v>
      </c>
      <c r="D20" s="23">
        <f>IF(AND('Part VII-Pro Forma'!$G$8="Yes",'Part VII-Pro Forma'!$G$9="Yes"),"Choose One!",IF('Part VII-Pro Forma'!$G$8="Yes",ROUND((-$K$8*(1+'Part VII-Pro Forma'!$B$6)^('Part VII-Pro Forma'!D13-1)),),IF('Part VII-Pro Forma'!$G$9="Yes",ROUND((-(SUM(D14:D17)*'Part VII-Pro Forma'!$K$9)),),"Choose mgt fee")))</f>
        <v>-25462</v>
      </c>
      <c r="E20" s="23">
        <f>IF(AND('Part VII-Pro Forma'!$G$8="Yes",'Part VII-Pro Forma'!$G$9="Yes"),"Choose One!",IF('Part VII-Pro Forma'!$G$8="Yes",ROUND((-$K$8*(1+'Part VII-Pro Forma'!$B$6)^('Part VII-Pro Forma'!E13-1)),),IF('Part VII-Pro Forma'!$G$9="Yes",ROUND((-(SUM(E14:E17)*'Part VII-Pro Forma'!$K$9)),),"Choose mgt fee")))</f>
        <v>-26225</v>
      </c>
      <c r="F20" s="23">
        <f>IF(AND('Part VII-Pro Forma'!$G$8="Yes",'Part VII-Pro Forma'!$G$9="Yes"),"Choose One!",IF('Part VII-Pro Forma'!$G$8="Yes",ROUND((-$K$8*(1+'Part VII-Pro Forma'!$B$6)^('Part VII-Pro Forma'!F13-1)),),IF('Part VII-Pro Forma'!$G$9="Yes",ROUND((-(SUM(F14:F17)*'Part VII-Pro Forma'!$K$9)),),"Choose mgt fee")))</f>
        <v>-27012</v>
      </c>
      <c r="G20" s="23">
        <f>IF(AND('Part VII-Pro Forma'!$G$8="Yes",'Part VII-Pro Forma'!$G$9="Yes"),"Choose One!",IF('Part VII-Pro Forma'!$G$8="Yes",ROUND((-$K$8*(1+'Part VII-Pro Forma'!$B$6)^('Part VII-Pro Forma'!G13-1)),),IF('Part VII-Pro Forma'!$G$9="Yes",ROUND((-(SUM(G14:G17)*'Part VII-Pro Forma'!$K$9)),),"Choose mgt fee")))</f>
        <v>-27823</v>
      </c>
      <c r="H20" s="23">
        <f>IF(AND('Part VII-Pro Forma'!$G$8="Yes",'Part VII-Pro Forma'!$G$9="Yes"),"Choose One!",IF('Part VII-Pro Forma'!$G$8="Yes",ROUND((-$K$8*(1+'Part VII-Pro Forma'!$B$6)^('Part VII-Pro Forma'!H13-1)),),IF('Part VII-Pro Forma'!$G$9="Yes",ROUND((-(SUM(H14:H17)*'Part VII-Pro Forma'!$K$9)),),"Choose mgt fee")))</f>
        <v>-28657</v>
      </c>
      <c r="I20" s="23">
        <f>IF(AND('Part VII-Pro Forma'!$G$8="Yes",'Part VII-Pro Forma'!$G$9="Yes"),"Choose One!",IF('Part VII-Pro Forma'!$G$8="Yes",ROUND((-$K$8*(1+'Part VII-Pro Forma'!$B$6)^('Part VII-Pro Forma'!I13-1)),),IF('Part VII-Pro Forma'!$G$9="Yes",ROUND((-(SUM(I14:I17)*'Part VII-Pro Forma'!$K$9)),),"Choose mgt fee")))</f>
        <v>-29517</v>
      </c>
      <c r="J20" s="23">
        <f>IF(AND('Part VII-Pro Forma'!$G$8="Yes",'Part VII-Pro Forma'!$G$9="Yes"),"Choose One!",IF('Part VII-Pro Forma'!$G$8="Yes",ROUND((-$K$8*(1+'Part VII-Pro Forma'!$B$6)^('Part VII-Pro Forma'!J13-1)),),IF('Part VII-Pro Forma'!$G$9="Yes",ROUND((-(SUM(J14:J17)*'Part VII-Pro Forma'!$K$9)),),"Choose mgt fee")))</f>
        <v>-30402</v>
      </c>
      <c r="K20" s="23">
        <f>IF(AND('Part VII-Pro Forma'!$G$8="Yes",'Part VII-Pro Forma'!$G$9="Yes"),"Choose One!",IF('Part VII-Pro Forma'!$G$8="Yes",ROUND((-$K$8*(1+'Part VII-Pro Forma'!$B$6)^('Part VII-Pro Forma'!K13-1)),),IF('Part VII-Pro Forma'!$G$9="Yes",ROUND((-(SUM(K14:K17)*'Part VII-Pro Forma'!$K$9)),),"Choose mgt fee")))</f>
        <v>-31315</v>
      </c>
      <c r="N20" s="3219"/>
      <c r="O20" s="3220"/>
      <c r="Q20" s="63">
        <v>2</v>
      </c>
      <c r="R20" s="1197">
        <f>-SUM($B$29:$C$29)</f>
        <v>20996</v>
      </c>
      <c r="S20" s="1197">
        <f>SUM($B$30:$C$30)+R20</f>
        <v>107735.32556799997</v>
      </c>
    </row>
    <row r="21" spans="1:19" ht="13.15" customHeight="1">
      <c r="A21" s="22" t="s">
        <v>1214</v>
      </c>
      <c r="B21" s="23">
        <f>-('Part VI-Revenues &amp; Expenses'!$P$179)</f>
        <v>-12500</v>
      </c>
      <c r="C21" s="23">
        <f t="shared" ref="C21:K21" si="5">$B$21*(1+$B$7)^(C13-1)</f>
        <v>-12875</v>
      </c>
      <c r="D21" s="23">
        <f t="shared" si="5"/>
        <v>-13261.25</v>
      </c>
      <c r="E21" s="23">
        <f t="shared" si="5"/>
        <v>-13659.0875</v>
      </c>
      <c r="F21" s="23">
        <f t="shared" si="5"/>
        <v>-14068.860124999999</v>
      </c>
      <c r="G21" s="23">
        <f t="shared" si="5"/>
        <v>-14490.925928749997</v>
      </c>
      <c r="H21" s="23">
        <f t="shared" si="5"/>
        <v>-14925.653706612498</v>
      </c>
      <c r="I21" s="23">
        <f t="shared" si="5"/>
        <v>-15373.423317810875</v>
      </c>
      <c r="J21" s="23">
        <f t="shared" si="5"/>
        <v>-15834.626017345199</v>
      </c>
      <c r="K21" s="24">
        <f t="shared" si="5"/>
        <v>-16309.664797865556</v>
      </c>
      <c r="N21" s="3219"/>
      <c r="O21" s="3220"/>
      <c r="Q21" s="63">
        <v>3</v>
      </c>
      <c r="R21" s="1197">
        <f>-SUM($B$29:$D$29)</f>
        <v>20996</v>
      </c>
      <c r="S21" s="1197">
        <f>SUM($B$30:$D$30)+R21</f>
        <v>159924.64547935996</v>
      </c>
    </row>
    <row r="22" spans="1:19" ht="13.15" customHeight="1">
      <c r="A22" s="22" t="s">
        <v>1215</v>
      </c>
      <c r="B22" s="23">
        <f t="shared" ref="B22:K22" si="6">SUM(B14:B21)</f>
        <v>59397.438399999985</v>
      </c>
      <c r="C22" s="23">
        <f t="shared" si="6"/>
        <v>58337.887167999987</v>
      </c>
      <c r="D22" s="23">
        <f t="shared" si="6"/>
        <v>57189.319911359984</v>
      </c>
      <c r="E22" s="23">
        <f t="shared" si="6"/>
        <v>55949.589559587177</v>
      </c>
      <c r="F22" s="23">
        <f t="shared" si="6"/>
        <v>54612.431898278919</v>
      </c>
      <c r="G22" s="23">
        <f t="shared" si="6"/>
        <v>53174.46160016959</v>
      </c>
      <c r="H22" s="23">
        <f t="shared" si="6"/>
        <v>51633.168128015735</v>
      </c>
      <c r="I22" s="23">
        <f t="shared" si="6"/>
        <v>49981.911505293967</v>
      </c>
      <c r="J22" s="23">
        <f t="shared" si="6"/>
        <v>48217.917950559437</v>
      </c>
      <c r="K22" s="24">
        <f t="shared" si="6"/>
        <v>46334.275371185038</v>
      </c>
      <c r="N22" s="3219"/>
      <c r="O22" s="3220"/>
      <c r="Q22" s="1040">
        <v>4</v>
      </c>
      <c r="R22" s="1197">
        <f>-SUM($B$29:$E$29)</f>
        <v>20996</v>
      </c>
      <c r="S22" s="1197">
        <f>SUM($B$30:$E$30)+R22</f>
        <v>210874.23503894714</v>
      </c>
    </row>
    <row r="23" spans="1:19" ht="13.15" customHeight="1">
      <c r="A23" s="435" t="s">
        <v>1603</v>
      </c>
      <c r="B23" s="3227">
        <f>IF('Part III-Sources of Funds'!$N$37="", 0,-'Part III-Sources of Funds'!$N$37)</f>
        <v>0</v>
      </c>
      <c r="C23" s="3227">
        <f>IF('Part III-Sources of Funds'!$N$37="", 0,-'Part III-Sources of Funds'!$N$37)</f>
        <v>0</v>
      </c>
      <c r="D23" s="3227">
        <f>IF('Part III-Sources of Funds'!$N$37="", 0,-'Part III-Sources of Funds'!$N$37)</f>
        <v>0</v>
      </c>
      <c r="E23" s="3227">
        <f>IF('Part III-Sources of Funds'!$N$37="", 0,-'Part III-Sources of Funds'!$N$37)</f>
        <v>0</v>
      </c>
      <c r="F23" s="3227">
        <f>IF('Part III-Sources of Funds'!$N$37="", 0,-'Part III-Sources of Funds'!$N$37)</f>
        <v>0</v>
      </c>
      <c r="G23" s="3227">
        <f>IF('Part III-Sources of Funds'!$N$37="", 0,-'Part III-Sources of Funds'!$N$37)</f>
        <v>0</v>
      </c>
      <c r="H23" s="3227">
        <f>IF('Part III-Sources of Funds'!$N$37="", 0,-'Part III-Sources of Funds'!$N$37)</f>
        <v>0</v>
      </c>
      <c r="I23" s="3227">
        <f>IF('Part III-Sources of Funds'!$N$37="", 0,-'Part III-Sources of Funds'!$N$37)</f>
        <v>0</v>
      </c>
      <c r="J23" s="3227">
        <f>IF('Part III-Sources of Funds'!$N$37="", 0,-'Part III-Sources of Funds'!$N$37)</f>
        <v>0</v>
      </c>
      <c r="K23" s="3227">
        <f>IF('Part III-Sources of Funds'!$N$37="", 0,-'Part III-Sources of Funds'!$N$37)</f>
        <v>0</v>
      </c>
      <c r="N23" s="3219"/>
      <c r="O23" s="3220"/>
      <c r="Q23" s="1040">
        <v>5</v>
      </c>
      <c r="R23" s="1197">
        <f>-SUM($B$29:$F$29)</f>
        <v>20996</v>
      </c>
      <c r="S23" s="1197">
        <f>SUM($B$30:$F$30)+R23</f>
        <v>260486.66693722605</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20996</v>
      </c>
      <c r="S24" s="1197">
        <f>SUM($B$30:$G$30)+R24</f>
        <v>308661.12853739562</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20996</v>
      </c>
      <c r="S25" s="1197">
        <f>SUM($B$30:$H$30)+R25</f>
        <v>355294.29666541133</v>
      </c>
    </row>
    <row r="26" spans="1:19" ht="13.15" customHeight="1">
      <c r="A26" s="435" t="s">
        <v>3881</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20996</v>
      </c>
      <c r="S26" s="1197">
        <f>SUM($B$30:$I$30)+R26</f>
        <v>400276.2081707053</v>
      </c>
    </row>
    <row r="27" spans="1:19" ht="13.15" customHeight="1">
      <c r="A27" s="22" t="s">
        <v>771</v>
      </c>
      <c r="B27" s="3229"/>
      <c r="C27" s="3229"/>
      <c r="D27" s="3229"/>
      <c r="E27" s="3229"/>
      <c r="F27" s="3229"/>
      <c r="G27" s="3229"/>
      <c r="H27" s="3229"/>
      <c r="I27" s="3229"/>
      <c r="J27" s="3229"/>
      <c r="K27" s="3229"/>
      <c r="N27" s="3219"/>
      <c r="O27" s="3220"/>
      <c r="Q27" s="1040">
        <v>9</v>
      </c>
      <c r="R27" s="1197">
        <f>-SUM($B$29:$J$29)</f>
        <v>20996</v>
      </c>
      <c r="S27" s="1197">
        <f>SUM($B$30:$J$30)+R27</f>
        <v>443494.12612126477</v>
      </c>
    </row>
    <row r="28" spans="1:19" ht="13.15" customHeight="1">
      <c r="A28" s="435" t="s">
        <v>1174</v>
      </c>
      <c r="B28" s="3230">
        <f>-$G$5</f>
        <v>-5000</v>
      </c>
      <c r="C28" s="3230">
        <f t="shared" ref="C28:K28" si="7">+B28</f>
        <v>-5000</v>
      </c>
      <c r="D28" s="3230">
        <f t="shared" si="7"/>
        <v>-5000</v>
      </c>
      <c r="E28" s="3230">
        <f t="shared" si="7"/>
        <v>-5000</v>
      </c>
      <c r="F28" s="3230">
        <f t="shared" si="7"/>
        <v>-5000</v>
      </c>
      <c r="G28" s="3230">
        <f t="shared" si="7"/>
        <v>-5000</v>
      </c>
      <c r="H28" s="3230">
        <f t="shared" si="7"/>
        <v>-5000</v>
      </c>
      <c r="I28" s="3230">
        <f t="shared" si="7"/>
        <v>-5000</v>
      </c>
      <c r="J28" s="3230">
        <f t="shared" si="7"/>
        <v>-5000</v>
      </c>
      <c r="K28" s="3230">
        <f t="shared" si="7"/>
        <v>-5000</v>
      </c>
      <c r="N28" s="3219"/>
      <c r="O28" s="3220"/>
      <c r="Q28" s="1040">
        <v>10</v>
      </c>
      <c r="R28" s="1197">
        <f>-SUM($B$29:$K$29)</f>
        <v>20996</v>
      </c>
      <c r="S28" s="1197">
        <f>SUM($B$30:$K$30)+R28</f>
        <v>484828.4014924498</v>
      </c>
    </row>
    <row r="29" spans="1:19" ht="13.15" customHeight="1">
      <c r="A29" s="435" t="s">
        <v>4127</v>
      </c>
      <c r="B29" s="3231">
        <v>-20996</v>
      </c>
      <c r="C29" s="3231">
        <f>IF('Part III-Sources of Funds'!$N$42="", 0,-'Part III-Sources of Funds'!$N$42)</f>
        <v>0</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20996</v>
      </c>
      <c r="S29" s="1197">
        <f>SUM($B$30:$K$30)+$B$60+R29</f>
        <v>524157.33020452131</v>
      </c>
    </row>
    <row r="30" spans="1:19" ht="13.15" customHeight="1">
      <c r="A30" s="22" t="s">
        <v>1175</v>
      </c>
      <c r="B30" s="23">
        <f>SUM(B22:B29)</f>
        <v>33401.438399999985</v>
      </c>
      <c r="C30" s="23">
        <f t="shared" ref="C30:K30" si="8">SUM(C22:C29)</f>
        <v>53337.887167999987</v>
      </c>
      <c r="D30" s="23">
        <f t="shared" si="8"/>
        <v>52189.319911359984</v>
      </c>
      <c r="E30" s="23">
        <f t="shared" si="8"/>
        <v>50949.589559587177</v>
      </c>
      <c r="F30" s="23">
        <f t="shared" si="8"/>
        <v>49612.431898278919</v>
      </c>
      <c r="G30" s="23">
        <f t="shared" si="8"/>
        <v>48174.46160016959</v>
      </c>
      <c r="H30" s="23">
        <f t="shared" si="8"/>
        <v>46633.168128015735</v>
      </c>
      <c r="I30" s="23">
        <f t="shared" si="8"/>
        <v>44981.911505293967</v>
      </c>
      <c r="J30" s="23">
        <f t="shared" si="8"/>
        <v>43217.917950559437</v>
      </c>
      <c r="K30" s="23">
        <f t="shared" si="8"/>
        <v>41334.275371185038</v>
      </c>
      <c r="N30" s="3219"/>
      <c r="O30" s="3220"/>
      <c r="Q30" s="1040">
        <v>12</v>
      </c>
      <c r="R30" s="1197">
        <f>-SUM($B$29:$K$29) - SUM($B$59:$C$59)</f>
        <v>20996</v>
      </c>
      <c r="S30" s="1197">
        <f>SUM($B$30:$K$30) + SUM($B$60:$C$60)+R30</f>
        <v>561352.00535930088</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19"/>
      <c r="O31" s="3220"/>
      <c r="Q31" s="1040">
        <v>13</v>
      </c>
      <c r="R31" s="1197">
        <f>-SUM($B$29:$K$29) - SUM($B$59:$D$59)</f>
        <v>20996</v>
      </c>
      <c r="S31" s="1197">
        <f>SUM($B$30:$K$30) + SUM($B$60:$D$60)+R31</f>
        <v>596280.16452169686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20996</v>
      </c>
      <c r="S32" s="1197">
        <f>SUM($B$30:$K$30) + SUM($B$60:$E$60)+R32</f>
        <v>628802.03188699693</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20996</v>
      </c>
      <c r="S33" s="1197">
        <f>SUM($B$30:$K$30) + SUM($B$60:$F$60)+R33</f>
        <v>658774.15516984905</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20996</v>
      </c>
      <c r="S34" s="1197">
        <f>SUM($B$30:$K$30) + SUM($B$60:$G$60)+R34</f>
        <v>686046.23704571149</v>
      </c>
    </row>
    <row r="35" spans="1:19" ht="13.15" customHeight="1">
      <c r="A35" s="435" t="s">
        <v>3739</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19"/>
      <c r="O35" s="3220"/>
      <c r="Q35" s="63">
        <v>17</v>
      </c>
      <c r="R35" s="1197">
        <f>-SUM($B$29:$K$29) - SUM($B$59:$H$59)</f>
        <v>20996</v>
      </c>
      <c r="S35" s="1197">
        <f>SUM($B$30:$K$30) + SUM($B$60:$H$60)+R35</f>
        <v>710461.96097026533</v>
      </c>
    </row>
    <row r="36" spans="1:19" ht="13.15" customHeight="1">
      <c r="A36" s="22" t="s">
        <v>778</v>
      </c>
      <c r="B36" s="274">
        <f t="shared" ref="B36:K36" si="14">IF(OR(B20="Choose mgt fee",B20="Choose One!"),"",(B14+B15+B16+B17+B18) / -(B19+B20+B21))</f>
        <v>1.2642822620689655</v>
      </c>
      <c r="C36" s="274">
        <f t="shared" si="14"/>
        <v>1.2520076770003348</v>
      </c>
      <c r="D36" s="274">
        <f t="shared" si="14"/>
        <v>1.2398501827001962</v>
      </c>
      <c r="E36" s="274">
        <f t="shared" si="14"/>
        <v>1.2278171018061546</v>
      </c>
      <c r="F36" s="274">
        <f t="shared" si="14"/>
        <v>1.2158953457408916</v>
      </c>
      <c r="G36" s="274">
        <f t="shared" si="14"/>
        <v>1.2040875788693748</v>
      </c>
      <c r="H36" s="274">
        <f t="shared" si="14"/>
        <v>1.1924004740265663</v>
      </c>
      <c r="I36" s="274">
        <f t="shared" si="14"/>
        <v>1.1808225315337051</v>
      </c>
      <c r="J36" s="274">
        <f t="shared" si="14"/>
        <v>1.1693603298069914</v>
      </c>
      <c r="K36" s="275">
        <f t="shared" si="14"/>
        <v>1.1580036049320579</v>
      </c>
      <c r="N36" s="3219"/>
      <c r="O36" s="3220"/>
      <c r="Q36" s="63">
        <v>18</v>
      </c>
      <c r="R36" s="1197">
        <f>-SUM($B$29:$K$29) - SUM($B$59:$I$59)</f>
        <v>20996</v>
      </c>
      <c r="S36" s="1197">
        <f>SUM($B$30:$K$30) + SUM($B$60:$I$60)+R36</f>
        <v>731859.81119681941</v>
      </c>
    </row>
    <row r="37" spans="1:19" ht="13.15" customHeight="1">
      <c r="A37" s="435" t="s">
        <v>2633</v>
      </c>
      <c r="B37" s="3232" t="str">
        <f>IF('Part III-Sources of Funds'!$I$37="","",-FV('Part III-Sources of Funds'!$K$37/12,12,B23/12,'Part III-Sources of Funds'!$I$37))</f>
        <v/>
      </c>
      <c r="C37" s="3232" t="str">
        <f>IF('Part III-Sources of Funds'!$I$37="","",-FV('Part III-Sources of Funds'!$K$37/12,12,C23/12,B37))</f>
        <v/>
      </c>
      <c r="D37" s="3232" t="str">
        <f>IF('Part III-Sources of Funds'!$I$37="","",-FV('Part III-Sources of Funds'!$K$37/12,12,D23/12,C37))</f>
        <v/>
      </c>
      <c r="E37" s="3232" t="str">
        <f>IF('Part III-Sources of Funds'!$I$37="","",-FV('Part III-Sources of Funds'!$K$37/12,12,E23/12,D37))</f>
        <v/>
      </c>
      <c r="F37" s="3232" t="str">
        <f>IF('Part III-Sources of Funds'!$I$37="","",-FV('Part III-Sources of Funds'!$K$37/12,12,F23/12,E37))</f>
        <v/>
      </c>
      <c r="G37" s="3232" t="str">
        <f>IF('Part III-Sources of Funds'!$I$37="","",-FV('Part III-Sources of Funds'!$K$37/12,12,G23/12,F37))</f>
        <v/>
      </c>
      <c r="H37" s="3232" t="str">
        <f>IF('Part III-Sources of Funds'!$I$37="","",-FV('Part III-Sources of Funds'!$K$37/12,12,H23/12,G37))</f>
        <v/>
      </c>
      <c r="I37" s="3232" t="str">
        <f>IF('Part III-Sources of Funds'!$I$37="","",-FV('Part III-Sources of Funds'!$K$37/12,12,I23/12,H37))</f>
        <v/>
      </c>
      <c r="J37" s="3232" t="str">
        <f>IF('Part III-Sources of Funds'!$I$37="","",-FV('Part III-Sources of Funds'!$K$37/12,12,J23/12,I37))</f>
        <v/>
      </c>
      <c r="K37" s="3232" t="str">
        <f>IF('Part III-Sources of Funds'!$I$37="","",-FV('Part III-Sources of Funds'!$K$37/12,12,K23/12,J37))</f>
        <v/>
      </c>
      <c r="N37" s="3219"/>
      <c r="O37" s="3220"/>
      <c r="Q37" s="1040">
        <v>19</v>
      </c>
      <c r="R37" s="1197">
        <f>-SUM($B$29:$K$29) - SUM($B$59:$J$59)</f>
        <v>20996</v>
      </c>
      <c r="S37" s="1197">
        <f>SUM($B$30:$K$30) + SUM($B$60:$J$60)+R37</f>
        <v>750070.88680611888</v>
      </c>
    </row>
    <row r="38" spans="1:19" ht="13.15" customHeight="1">
      <c r="A38" s="435" t="s">
        <v>2634</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20996</v>
      </c>
      <c r="S38" s="1197">
        <f>SUM($B$30:$K$30) + SUM($B$60:$K$60)+R38</f>
        <v>764919.70955716539</v>
      </c>
    </row>
    <row r="39" spans="1:19" ht="13.15" customHeight="1">
      <c r="A39" s="435" t="s">
        <v>2635</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4128</v>
      </c>
      <c r="B41" s="3231">
        <f>IF('Part III-Sources of Funds'!$I$42="","",-FV('Part III-Sources of Funds'!$K$42/12,12,B29/12,'Part III-Sources of Funds'!$I$42))</f>
        <v>0</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2638</v>
      </c>
      <c r="O43" s="1724"/>
    </row>
    <row r="44" spans="1:19" ht="13.15" customHeight="1">
      <c r="A44" s="19" t="s">
        <v>2419</v>
      </c>
      <c r="B44" s="20">
        <f t="shared" ref="B44:K44" si="16">$B$14*(1+$B$5)^(B43-1)</f>
        <v>365142.46454290953</v>
      </c>
      <c r="C44" s="20">
        <f t="shared" si="16"/>
        <v>372445.31383376766</v>
      </c>
      <c r="D44" s="20">
        <f t="shared" si="16"/>
        <v>379894.22011044307</v>
      </c>
      <c r="E44" s="20">
        <f t="shared" si="16"/>
        <v>387492.10451265192</v>
      </c>
      <c r="F44" s="20">
        <f t="shared" si="16"/>
        <v>395241.94660290499</v>
      </c>
      <c r="G44" s="20">
        <f t="shared" si="16"/>
        <v>403146.78553496295</v>
      </c>
      <c r="H44" s="20">
        <f t="shared" si="16"/>
        <v>411209.72124566231</v>
      </c>
      <c r="I44" s="20">
        <f t="shared" si="16"/>
        <v>419433.91567057557</v>
      </c>
      <c r="J44" s="20">
        <f t="shared" si="16"/>
        <v>427822.59398398706</v>
      </c>
      <c r="K44" s="21">
        <f t="shared" si="16"/>
        <v>436379.04586366675</v>
      </c>
      <c r="N44" s="3217"/>
      <c r="O44" s="3218"/>
    </row>
    <row r="45" spans="1:19" ht="13.15" customHeight="1">
      <c r="A45" s="22" t="s">
        <v>1026</v>
      </c>
      <c r="B45" s="23">
        <f t="shared" ref="B45:K45" si="17">$B$15*(1+$B$5)^(B43-1)</f>
        <v>7302.8492908581902</v>
      </c>
      <c r="C45" s="23">
        <f t="shared" si="17"/>
        <v>7448.9062766753532</v>
      </c>
      <c r="D45" s="23">
        <f t="shared" si="17"/>
        <v>7597.8844022088615</v>
      </c>
      <c r="E45" s="23">
        <f t="shared" si="17"/>
        <v>7749.8420902530379</v>
      </c>
      <c r="F45" s="23">
        <f t="shared" si="17"/>
        <v>7904.8389320581</v>
      </c>
      <c r="G45" s="23">
        <f t="shared" si="17"/>
        <v>8062.9357106992593</v>
      </c>
      <c r="H45" s="23">
        <f t="shared" si="17"/>
        <v>8224.1944249132466</v>
      </c>
      <c r="I45" s="23">
        <f t="shared" si="17"/>
        <v>8388.6783134115121</v>
      </c>
      <c r="J45" s="23">
        <f t="shared" si="17"/>
        <v>8556.4518796797402</v>
      </c>
      <c r="K45" s="24">
        <f t="shared" si="17"/>
        <v>8727.5809172733352</v>
      </c>
      <c r="N45" s="3219"/>
      <c r="O45" s="3220"/>
    </row>
    <row r="46" spans="1:19" ht="13.15" customHeight="1">
      <c r="A46" s="22" t="s">
        <v>2420</v>
      </c>
      <c r="B46" s="23">
        <f t="shared" ref="B46:K46" si="18">-(B44+B45)*$B$8</f>
        <v>-26071.171968363742</v>
      </c>
      <c r="C46" s="23">
        <f t="shared" si="18"/>
        <v>-26592.595407731013</v>
      </c>
      <c r="D46" s="23">
        <f t="shared" si="18"/>
        <v>-27124.447315885638</v>
      </c>
      <c r="E46" s="23">
        <f t="shared" si="18"/>
        <v>-27666.936262203348</v>
      </c>
      <c r="F46" s="23">
        <f t="shared" si="18"/>
        <v>-28220.274987447418</v>
      </c>
      <c r="G46" s="23">
        <f t="shared" si="18"/>
        <v>-28784.680487196358</v>
      </c>
      <c r="H46" s="23">
        <f t="shared" si="18"/>
        <v>-29360.374096940293</v>
      </c>
      <c r="I46" s="23">
        <f t="shared" si="18"/>
        <v>-29947.581578879101</v>
      </c>
      <c r="J46" s="23">
        <f t="shared" si="18"/>
        <v>-30546.533210456681</v>
      </c>
      <c r="K46" s="24">
        <f t="shared" si="18"/>
        <v>-31157.463874665809</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-252992.25841153093</v>
      </c>
      <c r="C49" s="23">
        <f t="shared" si="19"/>
        <v>-260582.02616387687</v>
      </c>
      <c r="D49" s="23">
        <f t="shared" si="19"/>
        <v>-268399.48694879311</v>
      </c>
      <c r="E49" s="23">
        <f t="shared" si="19"/>
        <v>-276451.47155725688</v>
      </c>
      <c r="F49" s="23">
        <f t="shared" si="19"/>
        <v>-284745.01570397464</v>
      </c>
      <c r="G49" s="23">
        <f t="shared" si="19"/>
        <v>-293287.36617509392</v>
      </c>
      <c r="H49" s="23">
        <f t="shared" si="19"/>
        <v>-302085.98716034665</v>
      </c>
      <c r="I49" s="23">
        <f t="shared" si="19"/>
        <v>-311148.56677515706</v>
      </c>
      <c r="J49" s="23">
        <f t="shared" si="19"/>
        <v>-320483.02377841179</v>
      </c>
      <c r="K49" s="24">
        <f t="shared" si="19"/>
        <v>-330097.51449176413</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-32254</v>
      </c>
      <c r="C50" s="23">
        <f>IF(AND('Part VII-Pro Forma'!$G$8="Yes",'Part VII-Pro Forma'!$G$9="Yes"),"Choose One!",IF('Part VII-Pro Forma'!$G$8="Yes",ROUND((-$K$8*(1+'Part VII-Pro Forma'!$B$6)^('Part VII-Pro Forma'!C43-1)),),IF('Part VII-Pro Forma'!$G$9="Yes",ROUND((-(SUM(C44:C47)*'Part VII-Pro Forma'!$K$9)),),"Choose mgt fee")))</f>
        <v>-33222</v>
      </c>
      <c r="D50" s="23">
        <f>IF(AND('Part VII-Pro Forma'!$G$8="Yes",'Part VII-Pro Forma'!$G$9="Yes"),"Choose One!",IF('Part VII-Pro Forma'!$G$8="Yes",ROUND((-$K$8*(1+'Part VII-Pro Forma'!$B$6)^('Part VII-Pro Forma'!D43-1)),),IF('Part VII-Pro Forma'!$G$9="Yes",ROUND((-(SUM(D44:D47)*'Part VII-Pro Forma'!$K$9)),),"Choose mgt fee")))</f>
        <v>-34218</v>
      </c>
      <c r="E50" s="23">
        <f>IF(AND('Part VII-Pro Forma'!$G$8="Yes",'Part VII-Pro Forma'!$G$9="Yes"),"Choose One!",IF('Part VII-Pro Forma'!$G$8="Yes",ROUND((-$K$8*(1+'Part VII-Pro Forma'!$B$6)^('Part VII-Pro Forma'!E43-1)),),IF('Part VII-Pro Forma'!$G$9="Yes",ROUND((-(SUM(E44:E47)*'Part VII-Pro Forma'!$K$9)),),"Choose mgt fee")))</f>
        <v>-35245</v>
      </c>
      <c r="F50" s="23">
        <f>IF(AND('Part VII-Pro Forma'!$G$8="Yes",'Part VII-Pro Forma'!$G$9="Yes"),"Choose One!",IF('Part VII-Pro Forma'!$G$8="Yes",ROUND((-$K$8*(1+'Part VII-Pro Forma'!$B$6)^('Part VII-Pro Forma'!F43-1)),),IF('Part VII-Pro Forma'!$G$9="Yes",ROUND((-(SUM(F44:F47)*'Part VII-Pro Forma'!$K$9)),),"Choose mgt fee")))</f>
        <v>-36302</v>
      </c>
      <c r="G50" s="23">
        <f>IF(AND('Part VII-Pro Forma'!$G$8="Yes",'Part VII-Pro Forma'!$G$9="Yes"),"Choose One!",IF('Part VII-Pro Forma'!$G$8="Yes",ROUND((-$K$8*(1+'Part VII-Pro Forma'!$B$6)^('Part VII-Pro Forma'!G43-1)),),IF('Part VII-Pro Forma'!$G$9="Yes",ROUND((-(SUM(G44:G47)*'Part VII-Pro Forma'!$K$9)),),"Choose mgt fee")))</f>
        <v>-37391</v>
      </c>
      <c r="H50" s="23">
        <f>IF(AND('Part VII-Pro Forma'!$G$8="Yes",'Part VII-Pro Forma'!$G$9="Yes"),"Choose One!",IF('Part VII-Pro Forma'!$G$8="Yes",ROUND((-$K$8*(1+'Part VII-Pro Forma'!$B$6)^('Part VII-Pro Forma'!H43-1)),),IF('Part VII-Pro Forma'!$G$9="Yes",ROUND((-(SUM(H44:H47)*'Part VII-Pro Forma'!$K$9)),),"Choose mgt fee")))</f>
        <v>-38513</v>
      </c>
      <c r="I50" s="23">
        <f>IF(AND('Part VII-Pro Forma'!$G$8="Yes",'Part VII-Pro Forma'!$G$9="Yes"),"Choose One!",IF('Part VII-Pro Forma'!$G$8="Yes",ROUND((-$K$8*(1+'Part VII-Pro Forma'!$B$6)^('Part VII-Pro Forma'!I43-1)),),IF('Part VII-Pro Forma'!$G$9="Yes",ROUND((-(SUM(I44:I47)*'Part VII-Pro Forma'!$K$9)),),"Choose mgt fee")))</f>
        <v>-39668</v>
      </c>
      <c r="J50" s="23">
        <f>IF(AND('Part VII-Pro Forma'!$G$8="Yes",'Part VII-Pro Forma'!$G$9="Yes"),"Choose One!",IF('Part VII-Pro Forma'!$G$8="Yes",ROUND((-$K$8*(1+'Part VII-Pro Forma'!$B$6)^('Part VII-Pro Forma'!J43-1)),),IF('Part VII-Pro Forma'!$G$9="Yes",ROUND((-(SUM(J44:J47)*'Part VII-Pro Forma'!$K$9)),),"Choose mgt fee")))</f>
        <v>-40858</v>
      </c>
      <c r="K50" s="23">
        <f>IF(AND('Part VII-Pro Forma'!$G$8="Yes",'Part VII-Pro Forma'!$G$9="Yes"),"Choose One!",IF('Part VII-Pro Forma'!$G$8="Yes",ROUND((-$K$8*(1+'Part VII-Pro Forma'!$B$6)^('Part VII-Pro Forma'!K43-1)),),IF('Part VII-Pro Forma'!$G$9="Yes",ROUND((-(SUM(K44:K47)*'Part VII-Pro Forma'!$K$9)),),"Choose mgt fee")))</f>
        <v>-42084</v>
      </c>
      <c r="N50" s="3219"/>
      <c r="O50" s="3220"/>
    </row>
    <row r="51" spans="1:18" ht="13.15" customHeight="1">
      <c r="A51" s="22" t="s">
        <v>1214</v>
      </c>
      <c r="B51" s="23">
        <f t="shared" ref="B51:K51" si="20">$B$21*(1+$B$7)^(B43-1)</f>
        <v>-16798.954741801521</v>
      </c>
      <c r="C51" s="23">
        <f t="shared" si="20"/>
        <v>-17302.923384055568</v>
      </c>
      <c r="D51" s="23">
        <f t="shared" si="20"/>
        <v>-17822.011085577233</v>
      </c>
      <c r="E51" s="23">
        <f t="shared" si="20"/>
        <v>-18356.67141814455</v>
      </c>
      <c r="F51" s="23">
        <f t="shared" si="20"/>
        <v>-18907.371560688887</v>
      </c>
      <c r="G51" s="23">
        <f t="shared" si="20"/>
        <v>-19474.592707509557</v>
      </c>
      <c r="H51" s="23">
        <f t="shared" si="20"/>
        <v>-20058.830488734839</v>
      </c>
      <c r="I51" s="23">
        <f t="shared" si="20"/>
        <v>-20660.595403396885</v>
      </c>
      <c r="J51" s="23">
        <f t="shared" si="20"/>
        <v>-21280.413265498792</v>
      </c>
      <c r="K51" s="24">
        <f t="shared" si="20"/>
        <v>-21918.825663463755</v>
      </c>
      <c r="N51" s="3219"/>
      <c r="O51" s="3220"/>
    </row>
    <row r="52" spans="1:18" ht="13.15" customHeight="1">
      <c r="A52" s="22" t="s">
        <v>1215</v>
      </c>
      <c r="B52" s="23">
        <f t="shared" ref="B52:K52" si="21">SUM(B44:B51)</f>
        <v>44328.928712071523</v>
      </c>
      <c r="C52" s="23">
        <f t="shared" si="21"/>
        <v>42194.675154779557</v>
      </c>
      <c r="D52" s="23">
        <f t="shared" si="21"/>
        <v>39928.159162395939</v>
      </c>
      <c r="E52" s="23">
        <f t="shared" si="21"/>
        <v>37521.867365300182</v>
      </c>
      <c r="F52" s="23">
        <f t="shared" si="21"/>
        <v>34972.123282852117</v>
      </c>
      <c r="G52" s="23">
        <f t="shared" si="21"/>
        <v>32272.081875862346</v>
      </c>
      <c r="H52" s="23">
        <f t="shared" si="21"/>
        <v>29415.723924553819</v>
      </c>
      <c r="I52" s="23">
        <f t="shared" si="21"/>
        <v>26397.850226554077</v>
      </c>
      <c r="J52" s="23">
        <f t="shared" si="21"/>
        <v>23211.075609299558</v>
      </c>
      <c r="K52" s="24">
        <f t="shared" si="21"/>
        <v>19848.822751046431</v>
      </c>
      <c r="N52" s="3219"/>
      <c r="O52" s="3220"/>
    </row>
    <row r="53" spans="1:18" ht="13.15" customHeight="1">
      <c r="A53" s="22" t="str">
        <f>$A23</f>
        <v>Mortgage A</v>
      </c>
      <c r="B53" s="3227">
        <f>IF('Part III-Sources of Funds'!$N$37="", 0,-'Part III-Sources of Funds'!$N$37)</f>
        <v>0</v>
      </c>
      <c r="C53" s="3227">
        <f>IF('Part III-Sources of Funds'!$N$37="", 0,-'Part III-Sources of Funds'!$N$37)</f>
        <v>0</v>
      </c>
      <c r="D53" s="3227">
        <f>IF('Part III-Sources of Funds'!$N$37="", 0,-'Part III-Sources of Funds'!$N$37)</f>
        <v>0</v>
      </c>
      <c r="E53" s="3227">
        <f>IF('Part III-Sources of Funds'!$N$37="", 0,-'Part III-Sources of Funds'!$N$37)</f>
        <v>0</v>
      </c>
      <c r="F53" s="3227">
        <f>IF('Part III-Sources of Funds'!$N$37="", 0,-'Part III-Sources of Funds'!$N$37)</f>
        <v>0</v>
      </c>
      <c r="G53" s="3227">
        <f>IF('Part III-Sources of Funds'!$N$37="", 0,-'Part III-Sources of Funds'!$N$37)</f>
        <v>0</v>
      </c>
      <c r="H53" s="3227">
        <f>IF('Part III-Sources of Funds'!$N$37="", 0,-'Part III-Sources of Funds'!$N$37)</f>
        <v>0</v>
      </c>
      <c r="I53" s="3227">
        <f>IF('Part III-Sources of Funds'!$N$37="", 0,-'Part III-Sources of Funds'!$N$37)</f>
        <v>0</v>
      </c>
      <c r="J53" s="3227">
        <f>IF('Part III-Sources of Funds'!$N$37="", 0,-'Part III-Sources of Funds'!$N$37)</f>
        <v>0</v>
      </c>
      <c r="K53" s="3227">
        <f>IF('Part III-Sources of Funds'!$N$37="", 0,-'Part III-Sources of Funds'!$N$37)</f>
        <v>0</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f>
        <v>-5000</v>
      </c>
      <c r="C58" s="3228">
        <f t="shared" ref="C58:K58" si="22">+B58</f>
        <v>-5000</v>
      </c>
      <c r="D58" s="3228">
        <f t="shared" si="22"/>
        <v>-5000</v>
      </c>
      <c r="E58" s="3228">
        <f t="shared" si="22"/>
        <v>-5000</v>
      </c>
      <c r="F58" s="3228">
        <f t="shared" si="22"/>
        <v>-5000</v>
      </c>
      <c r="G58" s="3228">
        <f t="shared" si="22"/>
        <v>-5000</v>
      </c>
      <c r="H58" s="3228">
        <f t="shared" si="22"/>
        <v>-5000</v>
      </c>
      <c r="I58" s="3228">
        <f t="shared" si="22"/>
        <v>-5000</v>
      </c>
      <c r="J58" s="3228">
        <f t="shared" si="22"/>
        <v>-5000</v>
      </c>
      <c r="K58" s="3228">
        <f t="shared" si="22"/>
        <v>-5000</v>
      </c>
      <c r="N58" s="3219"/>
      <c r="O58" s="3220"/>
      <c r="Q58" s="1040"/>
      <c r="R58" s="1197"/>
    </row>
    <row r="59" spans="1:18" ht="13.15" customHeight="1">
      <c r="A59" s="435" t="s">
        <v>4127</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39328.928712071523</v>
      </c>
      <c r="C60" s="23">
        <f t="shared" ref="C60:K60" si="23">SUM(C52:C59)</f>
        <v>37194.675154779557</v>
      </c>
      <c r="D60" s="23">
        <f t="shared" si="23"/>
        <v>34928.159162395939</v>
      </c>
      <c r="E60" s="23">
        <f t="shared" si="23"/>
        <v>32521.867365300182</v>
      </c>
      <c r="F60" s="23">
        <f t="shared" si="23"/>
        <v>29972.123282852117</v>
      </c>
      <c r="G60" s="23">
        <f t="shared" si="23"/>
        <v>27272.081875862346</v>
      </c>
      <c r="H60" s="23">
        <f t="shared" si="23"/>
        <v>24415.723924553819</v>
      </c>
      <c r="I60" s="23">
        <f t="shared" si="23"/>
        <v>21397.850226554077</v>
      </c>
      <c r="J60" s="23">
        <f t="shared" si="23"/>
        <v>18211.075609299558</v>
      </c>
      <c r="K60" s="23">
        <f t="shared" si="23"/>
        <v>14848.822751046431</v>
      </c>
      <c r="N60" s="3219"/>
      <c r="O60" s="3220"/>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3739</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219"/>
      <c r="O65" s="3220"/>
    </row>
    <row r="66" spans="1:15" ht="13.15" customHeight="1">
      <c r="A66" s="22" t="s">
        <v>778</v>
      </c>
      <c r="B66" s="274">
        <f t="shared" ref="B66:K66" si="29">IF(OR(B50="Choose mgt fee",B50="Choose One!"),"",(B44+B45+B46+B47+B48) / -(B49+B50+B51))</f>
        <v>1.1467625599799458</v>
      </c>
      <c r="C66" s="274">
        <f t="shared" si="29"/>
        <v>1.1356275557845699</v>
      </c>
      <c r="D66" s="274">
        <f t="shared" si="29"/>
        <v>1.1246043618446602</v>
      </c>
      <c r="E66" s="274">
        <f t="shared" si="29"/>
        <v>1.1136843207340603</v>
      </c>
      <c r="F66" s="274">
        <f t="shared" si="29"/>
        <v>1.1028729870623066</v>
      </c>
      <c r="G66" s="274">
        <f t="shared" si="29"/>
        <v>1.0921656694801265</v>
      </c>
      <c r="H66" s="274">
        <f t="shared" si="29"/>
        <v>1.0815613095989374</v>
      </c>
      <c r="I66" s="274">
        <f t="shared" si="29"/>
        <v>1.0710618388267588</v>
      </c>
      <c r="J66" s="274">
        <f t="shared" si="29"/>
        <v>1.0606632910811942</v>
      </c>
      <c r="K66" s="275">
        <f t="shared" si="29"/>
        <v>1.0503648962678602</v>
      </c>
      <c r="N66" s="3219"/>
      <c r="O66" s="3220"/>
    </row>
    <row r="67" spans="1:15" ht="13.15" customHeight="1">
      <c r="A67" s="435" t="s">
        <v>2633</v>
      </c>
      <c r="B67" s="3232" t="str">
        <f>IF('Part III-Sources of Funds'!$I$37="","",-FV('Part III-Sources of Funds'!$K$37/12,12,B53/12,K37))</f>
        <v/>
      </c>
      <c r="C67" s="3232" t="str">
        <f>IF('Part III-Sources of Funds'!$I$37="","",-FV('Part III-Sources of Funds'!$K$37/12,12,C53/12,B67))</f>
        <v/>
      </c>
      <c r="D67" s="3232" t="str">
        <f>IF('Part III-Sources of Funds'!$I$37="","",-FV('Part III-Sources of Funds'!$K$37/12,12,D53/12,C67))</f>
        <v/>
      </c>
      <c r="E67" s="3232" t="str">
        <f>IF('Part III-Sources of Funds'!$I$37="","",-FV('Part III-Sources of Funds'!$K$37/12,12,E53/12,D67))</f>
        <v/>
      </c>
      <c r="F67" s="3232" t="str">
        <f>IF('Part III-Sources of Funds'!$I$37="","",-FV('Part III-Sources of Funds'!$K$37/12,12,F53/12,E67))</f>
        <v/>
      </c>
      <c r="G67" s="3232" t="str">
        <f>IF('Part III-Sources of Funds'!$I$37="","",-FV('Part III-Sources of Funds'!$K$37/12,12,G53/12,F67))</f>
        <v/>
      </c>
      <c r="H67" s="3232" t="str">
        <f>IF('Part III-Sources of Funds'!$I$37="","",-FV('Part III-Sources of Funds'!$K$37/12,12,H53/12,G67))</f>
        <v/>
      </c>
      <c r="I67" s="3232" t="str">
        <f>IF('Part III-Sources of Funds'!$I$37="","",-FV('Part III-Sources of Funds'!$K$37/12,12,I53/12,H67))</f>
        <v/>
      </c>
      <c r="J67" s="3232" t="str">
        <f>IF('Part III-Sources of Funds'!$I$37="","",-FV('Part III-Sources of Funds'!$K$37/12,12,J53/12,I67))</f>
        <v/>
      </c>
      <c r="K67" s="3232" t="str">
        <f>IF('Part III-Sources of Funds'!$I$37="","",-FV('Part III-Sources of Funds'!$K$37/12,12,K53/12,J67))</f>
        <v/>
      </c>
      <c r="N67" s="3219"/>
      <c r="O67" s="3220"/>
    </row>
    <row r="68" spans="1:15" ht="13.15" customHeight="1">
      <c r="A68" s="435" t="s">
        <v>2634</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2635</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4128</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2639</v>
      </c>
      <c r="O73" s="1724"/>
    </row>
    <row r="74" spans="1:15" ht="13.15" customHeight="1">
      <c r="A74" s="19" t="s">
        <v>2419</v>
      </c>
      <c r="B74" s="20">
        <f t="shared" ref="B74:K74" si="31">$B$14*(1+$B$5)^(B73-1)</f>
        <v>445106.62678094016</v>
      </c>
      <c r="C74" s="20">
        <f t="shared" si="31"/>
        <v>454008.75931655889</v>
      </c>
      <c r="D74" s="20">
        <f t="shared" si="31"/>
        <v>463088.9345028901</v>
      </c>
      <c r="E74" s="20">
        <f t="shared" si="31"/>
        <v>472350.71319294785</v>
      </c>
      <c r="F74" s="20">
        <f t="shared" si="31"/>
        <v>481797.72745680681</v>
      </c>
      <c r="G74" s="20">
        <f t="shared" si="31"/>
        <v>491433.68200594297</v>
      </c>
      <c r="H74" s="20">
        <f t="shared" si="31"/>
        <v>501262.35564606189</v>
      </c>
      <c r="I74" s="20">
        <f t="shared" si="31"/>
        <v>511287.60275898298</v>
      </c>
      <c r="J74" s="20">
        <f t="shared" si="31"/>
        <v>521513.35481416277</v>
      </c>
      <c r="K74" s="21">
        <f t="shared" si="31"/>
        <v>531943.62191044597</v>
      </c>
      <c r="N74" s="3217"/>
      <c r="O74" s="3218"/>
    </row>
    <row r="75" spans="1:15" ht="13.15" customHeight="1">
      <c r="A75" s="22" t="s">
        <v>1026</v>
      </c>
      <c r="B75" s="23">
        <f t="shared" ref="B75:K75" si="32">$B$15*(1+$B$5)^(B73-1)</f>
        <v>8902.1325356188026</v>
      </c>
      <c r="C75" s="23">
        <f t="shared" si="32"/>
        <v>9080.1751863311783</v>
      </c>
      <c r="D75" s="23">
        <f t="shared" si="32"/>
        <v>9261.778690057803</v>
      </c>
      <c r="E75" s="23">
        <f t="shared" si="32"/>
        <v>9447.0142638589568</v>
      </c>
      <c r="F75" s="23">
        <f t="shared" si="32"/>
        <v>9635.9545491361368</v>
      </c>
      <c r="G75" s="23">
        <f t="shared" si="32"/>
        <v>9828.6736401188591</v>
      </c>
      <c r="H75" s="23">
        <f t="shared" si="32"/>
        <v>10025.247112921237</v>
      </c>
      <c r="I75" s="23">
        <f t="shared" si="32"/>
        <v>10225.752055179661</v>
      </c>
      <c r="J75" s="23">
        <f t="shared" si="32"/>
        <v>10430.267096283256</v>
      </c>
      <c r="K75" s="24">
        <f t="shared" si="32"/>
        <v>10638.872438208919</v>
      </c>
      <c r="N75" s="3219"/>
      <c r="O75" s="3220"/>
    </row>
    <row r="76" spans="1:15" ht="13.15" customHeight="1">
      <c r="A76" s="22" t="s">
        <v>2420</v>
      </c>
      <c r="B76" s="23">
        <f t="shared" ref="B76:K76" si="33">-(B74+B75)*$B$8</f>
        <v>-31780.613152159131</v>
      </c>
      <c r="C76" s="23">
        <f t="shared" si="33"/>
        <v>-32416.225415202305</v>
      </c>
      <c r="D76" s="23">
        <f t="shared" si="33"/>
        <v>-33064.549923506354</v>
      </c>
      <c r="E76" s="23">
        <f t="shared" si="33"/>
        <v>-33725.84092197648</v>
      </c>
      <c r="F76" s="23">
        <f t="shared" si="33"/>
        <v>-34400.35774041601</v>
      </c>
      <c r="G76" s="23">
        <f t="shared" si="33"/>
        <v>-35088.364895224331</v>
      </c>
      <c r="H76" s="23">
        <f t="shared" si="33"/>
        <v>-35790.132193128826</v>
      </c>
      <c r="I76" s="23">
        <f t="shared" si="33"/>
        <v>-36505.934836991386</v>
      </c>
      <c r="J76" s="23">
        <f t="shared" si="33"/>
        <v>-37236.053533731225</v>
      </c>
      <c r="K76" s="24">
        <f t="shared" si="33"/>
        <v>-37980.774604405844</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-340000.43992651702</v>
      </c>
      <c r="C79" s="23">
        <f t="shared" si="34"/>
        <v>-350200.45312431251</v>
      </c>
      <c r="D79" s="23">
        <f t="shared" si="34"/>
        <v>-360706.46671804192</v>
      </c>
      <c r="E79" s="23">
        <f t="shared" si="34"/>
        <v>-371527.66071958322</v>
      </c>
      <c r="F79" s="23">
        <f t="shared" si="34"/>
        <v>-382673.49054117064</v>
      </c>
      <c r="G79" s="23">
        <f t="shared" si="34"/>
        <v>-394153.69525740575</v>
      </c>
      <c r="H79" s="23">
        <f t="shared" si="34"/>
        <v>-405978.30611512798</v>
      </c>
      <c r="I79" s="23">
        <f t="shared" si="34"/>
        <v>-418157.65529858175</v>
      </c>
      <c r="J79" s="23">
        <f t="shared" si="34"/>
        <v>-430702.38495753921</v>
      </c>
      <c r="K79" s="24">
        <f t="shared" si="34"/>
        <v>-443623.45650626539</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-43347</v>
      </c>
      <c r="C80" s="23">
        <f>IF(AND('Part VII-Pro Forma'!$G$8="Yes",'Part VII-Pro Forma'!$G$9="Yes"),"Choose One!",IF('Part VII-Pro Forma'!$G$8="Yes",ROUND((-$K$8*(1+'Part VII-Pro Forma'!$B$6)^('Part VII-Pro Forma'!C73-1)),),IF('Part VII-Pro Forma'!$G$9="Yes",ROUND((-(SUM(C74:C77)*'Part VII-Pro Forma'!$K$9)),),"Choose mgt fee")))</f>
        <v>-44647</v>
      </c>
      <c r="D80" s="23">
        <f>IF(AND('Part VII-Pro Forma'!$G$8="Yes",'Part VII-Pro Forma'!$G$9="Yes"),"Choose One!",IF('Part VII-Pro Forma'!$G$8="Yes",ROUND((-$K$8*(1+'Part VII-Pro Forma'!$B$6)^('Part VII-Pro Forma'!D73-1)),),IF('Part VII-Pro Forma'!$G$9="Yes",ROUND((-(SUM(D74:D77)*'Part VII-Pro Forma'!$K$9)),),"Choose mgt fee")))</f>
        <v>-45986</v>
      </c>
      <c r="E80" s="23">
        <f>IF(AND('Part VII-Pro Forma'!$G$8="Yes",'Part VII-Pro Forma'!$G$9="Yes"),"Choose One!",IF('Part VII-Pro Forma'!$G$8="Yes",ROUND((-$K$8*(1+'Part VII-Pro Forma'!$B$6)^('Part VII-Pro Forma'!E73-1)),),IF('Part VII-Pro Forma'!$G$9="Yes",ROUND((-(SUM(E74:E77)*'Part VII-Pro Forma'!$K$9)),),"Choose mgt fee")))</f>
        <v>-47366</v>
      </c>
      <c r="F80" s="23">
        <f>IF(AND('Part VII-Pro Forma'!$G$8="Yes",'Part VII-Pro Forma'!$G$9="Yes"),"Choose One!",IF('Part VII-Pro Forma'!$G$8="Yes",ROUND((-$K$8*(1+'Part VII-Pro Forma'!$B$6)^('Part VII-Pro Forma'!F73-1)),),IF('Part VII-Pro Forma'!$G$9="Yes",ROUND((-(SUM(F74:F77)*'Part VII-Pro Forma'!$K$9)),),"Choose mgt fee")))</f>
        <v>-48787</v>
      </c>
      <c r="G80" s="23">
        <f>IF(AND('Part VII-Pro Forma'!$G$8="Yes",'Part VII-Pro Forma'!$G$9="Yes"),"Choose One!",IF('Part VII-Pro Forma'!$G$8="Yes",ROUND((-$K$8*(1+'Part VII-Pro Forma'!$B$6)^('Part VII-Pro Forma'!G73-1)),),IF('Part VII-Pro Forma'!$G$9="Yes",ROUND((-(SUM(G74:G77)*'Part VII-Pro Forma'!$K$9)),),"Choose mgt fee")))</f>
        <v>-50251</v>
      </c>
      <c r="H80" s="23">
        <f>IF(AND('Part VII-Pro Forma'!$G$8="Yes",'Part VII-Pro Forma'!$G$9="Yes"),"Choose One!",IF('Part VII-Pro Forma'!$G$8="Yes",ROUND((-$K$8*(1+'Part VII-Pro Forma'!$B$6)^('Part VII-Pro Forma'!H73-1)),),IF('Part VII-Pro Forma'!$G$9="Yes",ROUND((-(SUM(H74:H77)*'Part VII-Pro Forma'!$K$9)),),"Choose mgt fee")))</f>
        <v>-51758</v>
      </c>
      <c r="I80" s="23">
        <f>IF(AND('Part VII-Pro Forma'!$G$8="Yes",'Part VII-Pro Forma'!$G$9="Yes"),"Choose One!",IF('Part VII-Pro Forma'!$G$8="Yes",ROUND((-$K$8*(1+'Part VII-Pro Forma'!$B$6)^('Part VII-Pro Forma'!I73-1)),),IF('Part VII-Pro Forma'!$G$9="Yes",ROUND((-(SUM(I74:I77)*'Part VII-Pro Forma'!$K$9)),),"Choose mgt fee")))</f>
        <v>-53311</v>
      </c>
      <c r="J80" s="23">
        <f>IF(AND('Part VII-Pro Forma'!$G$8="Yes",'Part VII-Pro Forma'!$G$9="Yes"),"Choose One!",IF('Part VII-Pro Forma'!$G$8="Yes",ROUND((-$K$8*(1+'Part VII-Pro Forma'!$B$6)^('Part VII-Pro Forma'!J73-1)),),IF('Part VII-Pro Forma'!$G$9="Yes",ROUND((-(SUM(J74:J77)*'Part VII-Pro Forma'!$K$9)),),"Choose mgt fee")))</f>
        <v>-54910</v>
      </c>
      <c r="K80" s="23">
        <f>IF(AND('Part VII-Pro Forma'!$G$8="Yes",'Part VII-Pro Forma'!$G$9="Yes"),"Choose One!",IF('Part VII-Pro Forma'!$G$8="Yes",ROUND((-$K$8*(1+'Part VII-Pro Forma'!$B$6)^('Part VII-Pro Forma'!K73-1)),),IF('Part VII-Pro Forma'!$G$9="Yes",ROUND((-(SUM(K74:K77)*'Part VII-Pro Forma'!$K$9)),),"Choose mgt fee")))</f>
        <v>-56558</v>
      </c>
      <c r="N80" s="3219"/>
      <c r="O80" s="3220"/>
    </row>
    <row r="81" spans="1:15" ht="13.15" customHeight="1">
      <c r="A81" s="22" t="s">
        <v>1214</v>
      </c>
      <c r="B81" s="23">
        <f t="shared" ref="B81:K81" si="35">$B$21*(1+$B$7)^(B73-1)</f>
        <v>-22576.390433367666</v>
      </c>
      <c r="C81" s="23">
        <f t="shared" si="35"/>
        <v>-23253.682146368694</v>
      </c>
      <c r="D81" s="23">
        <f t="shared" si="35"/>
        <v>-23951.292610759756</v>
      </c>
      <c r="E81" s="23">
        <f t="shared" si="35"/>
        <v>-24669.831389082548</v>
      </c>
      <c r="F81" s="23">
        <f t="shared" si="35"/>
        <v>-25409.926330755021</v>
      </c>
      <c r="G81" s="23">
        <f t="shared" si="35"/>
        <v>-26172.224120677674</v>
      </c>
      <c r="H81" s="23">
        <f t="shared" si="35"/>
        <v>-26957.390844298006</v>
      </c>
      <c r="I81" s="23">
        <f t="shared" si="35"/>
        <v>-27766.112569626945</v>
      </c>
      <c r="J81" s="23">
        <f t="shared" si="35"/>
        <v>-28599.095946715752</v>
      </c>
      <c r="K81" s="24">
        <f t="shared" si="35"/>
        <v>-29457.068825117221</v>
      </c>
      <c r="N81" s="3219"/>
      <c r="O81" s="3220"/>
    </row>
    <row r="82" spans="1:15" ht="13.15" customHeight="1">
      <c r="A82" s="22" t="s">
        <v>1215</v>
      </c>
      <c r="B82" s="23">
        <f t="shared" ref="B82:K82" si="36">SUM(B74:B81)</f>
        <v>16304.315804515118</v>
      </c>
      <c r="C82" s="23">
        <f t="shared" si="36"/>
        <v>12571.573817006516</v>
      </c>
      <c r="D82" s="23">
        <f t="shared" si="36"/>
        <v>8642.4039406398988</v>
      </c>
      <c r="E82" s="23">
        <f t="shared" si="36"/>
        <v>4508.3944261645556</v>
      </c>
      <c r="F82" s="23">
        <f t="shared" si="36"/>
        <v>162.90739360129373</v>
      </c>
      <c r="G82" s="23">
        <f t="shared" si="36"/>
        <v>-4402.9286272459358</v>
      </c>
      <c r="H82" s="23">
        <f t="shared" si="36"/>
        <v>-9196.226393571651</v>
      </c>
      <c r="I82" s="23">
        <f t="shared" si="36"/>
        <v>-14227.347891037411</v>
      </c>
      <c r="J82" s="23">
        <f t="shared" si="36"/>
        <v>-19503.912527540189</v>
      </c>
      <c r="K82" s="24">
        <f t="shared" si="36"/>
        <v>-25036.805587133593</v>
      </c>
      <c r="N82" s="3219"/>
      <c r="O82" s="3220"/>
    </row>
    <row r="83" spans="1:15" ht="13.15" customHeight="1">
      <c r="A83" s="22" t="str">
        <f>$A53</f>
        <v>Mortgage A</v>
      </c>
      <c r="B83" s="3227">
        <f>IF('Part III-Sources of Funds'!$N$37="", 0,-'Part III-Sources of Funds'!$N$37)</f>
        <v>0</v>
      </c>
      <c r="C83" s="3227">
        <f>IF('Part III-Sources of Funds'!$N$37="", 0,-'Part III-Sources of Funds'!$N$37)</f>
        <v>0</v>
      </c>
      <c r="D83" s="3227">
        <f>IF('Part III-Sources of Funds'!$N$37="", 0,-'Part III-Sources of Funds'!$N$37)</f>
        <v>0</v>
      </c>
      <c r="E83" s="3227">
        <f>IF('Part III-Sources of Funds'!$N$37="", 0,-'Part III-Sources of Funds'!$N$37)</f>
        <v>0</v>
      </c>
      <c r="F83" s="3227">
        <f>IF('Part III-Sources of Funds'!$N$37="", 0,-'Part III-Sources of Funds'!$N$37)</f>
        <v>0</v>
      </c>
      <c r="G83" s="3227">
        <f>IF('Part III-Sources of Funds'!$N$37="", 0,-'Part III-Sources of Funds'!$N$37)</f>
        <v>0</v>
      </c>
      <c r="H83" s="3227">
        <f>IF('Part III-Sources of Funds'!$N$37="", 0,-'Part III-Sources of Funds'!$N$37)</f>
        <v>0</v>
      </c>
      <c r="I83" s="3227">
        <f>IF('Part III-Sources of Funds'!$N$37="", 0,-'Part III-Sources of Funds'!$N$37)</f>
        <v>0</v>
      </c>
      <c r="J83" s="3227">
        <f>IF('Part III-Sources of Funds'!$N$37="", 0,-'Part III-Sources of Funds'!$N$37)</f>
        <v>0</v>
      </c>
      <c r="K83" s="3227">
        <f>IF('Part III-Sources of Funds'!$N$37="", 0,-'Part III-Sources of Funds'!$N$37)</f>
        <v>0</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f>
        <v>-5000</v>
      </c>
      <c r="C88" s="3231">
        <f t="shared" ref="C88:K88" si="37">+B88</f>
        <v>-5000</v>
      </c>
      <c r="D88" s="3231">
        <f t="shared" si="37"/>
        <v>-5000</v>
      </c>
      <c r="E88" s="3231">
        <f t="shared" si="37"/>
        <v>-5000</v>
      </c>
      <c r="F88" s="3231">
        <f t="shared" si="37"/>
        <v>-5000</v>
      </c>
      <c r="G88" s="3231">
        <f t="shared" si="37"/>
        <v>-5000</v>
      </c>
      <c r="H88" s="3231">
        <f t="shared" si="37"/>
        <v>-5000</v>
      </c>
      <c r="I88" s="3231">
        <f t="shared" si="37"/>
        <v>-5000</v>
      </c>
      <c r="J88" s="3231">
        <f t="shared" si="37"/>
        <v>-5000</v>
      </c>
      <c r="K88" s="3231">
        <f t="shared" si="37"/>
        <v>-5000</v>
      </c>
      <c r="N88" s="3219"/>
      <c r="O88" s="3220"/>
    </row>
    <row r="89" spans="1:15" ht="13.15" customHeight="1">
      <c r="A89" s="22" t="s">
        <v>1175</v>
      </c>
      <c r="B89" s="23">
        <f t="shared" ref="B89:K89" si="38">SUM(B82:B88)</f>
        <v>11304.315804515118</v>
      </c>
      <c r="C89" s="23">
        <f t="shared" si="38"/>
        <v>7571.573817006516</v>
      </c>
      <c r="D89" s="23">
        <f t="shared" si="38"/>
        <v>3642.4039406398988</v>
      </c>
      <c r="E89" s="23">
        <f t="shared" si="38"/>
        <v>-491.60557383544437</v>
      </c>
      <c r="F89" s="23">
        <f t="shared" si="38"/>
        <v>-4837.0926063987063</v>
      </c>
      <c r="G89" s="23">
        <f t="shared" si="38"/>
        <v>-9402.9286272459358</v>
      </c>
      <c r="H89" s="23">
        <f t="shared" si="38"/>
        <v>-14196.226393571651</v>
      </c>
      <c r="I89" s="23">
        <f t="shared" si="38"/>
        <v>-19227.347891037411</v>
      </c>
      <c r="J89" s="23">
        <f t="shared" si="38"/>
        <v>-24503.912527540189</v>
      </c>
      <c r="K89" s="24">
        <f t="shared" si="38"/>
        <v>-30036.805587133593</v>
      </c>
      <c r="N89" s="3219"/>
      <c r="O89" s="3220"/>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3739</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9"/>
      <c r="O94" s="3220"/>
    </row>
    <row r="95" spans="1:15" ht="13.15" customHeight="1">
      <c r="A95" s="22" t="s">
        <v>778</v>
      </c>
      <c r="B95" s="274">
        <f>IF(OR(B80="Choose mgt fee",B80="Choose One!"),"",(B74+B75+B76+B77+B78) / -(B79+B80+B81))</f>
        <v>1.0401659488433088</v>
      </c>
      <c r="C95" s="274">
        <f t="shared" ref="C95:K95" si="44">IF(OR(C80="Choose mgt fee",C80="Choose One!"),"",(C74+C75+C76+C77+C78) / -(C79+C80+C81))</f>
        <v>1.0300682604194977</v>
      </c>
      <c r="D95" s="274">
        <f t="shared" si="44"/>
        <v>1.0200685688656208</v>
      </c>
      <c r="E95" s="274">
        <f t="shared" si="44"/>
        <v>1.0101640340252802</v>
      </c>
      <c r="F95" s="274">
        <f t="shared" si="44"/>
        <v>1.0003565724275096</v>
      </c>
      <c r="G95" s="274">
        <f t="shared" si="44"/>
        <v>0.99064355167893725</v>
      </c>
      <c r="H95" s="274">
        <f t="shared" si="44"/>
        <v>0.98102672584508255</v>
      </c>
      <c r="I95" s="274">
        <f t="shared" si="44"/>
        <v>0.97150168857071018</v>
      </c>
      <c r="J95" s="274">
        <f t="shared" si="44"/>
        <v>0.96207025075900288</v>
      </c>
      <c r="K95" s="275">
        <f t="shared" si="44"/>
        <v>0.95272850370643136</v>
      </c>
      <c r="N95" s="3219"/>
      <c r="O95" s="3220"/>
    </row>
    <row r="96" spans="1:15" ht="13.15" customHeight="1">
      <c r="A96" s="435" t="s">
        <v>2633</v>
      </c>
      <c r="B96" s="3232" t="str">
        <f>IF('Part III-Sources of Funds'!$I$37="","",-FV('Part III-Sources of Funds'!$K$37/12,12,B83/12,K67))</f>
        <v/>
      </c>
      <c r="C96" s="3232" t="str">
        <f>IF('Part III-Sources of Funds'!$I$37="","",-FV('Part III-Sources of Funds'!$K$37/12,12,C83/12,B96))</f>
        <v/>
      </c>
      <c r="D96" s="3232" t="str">
        <f>IF('Part III-Sources of Funds'!$I$37="","",-FV('Part III-Sources of Funds'!$K$37/12,12,D83/12,C96))</f>
        <v/>
      </c>
      <c r="E96" s="3232" t="str">
        <f>IF('Part III-Sources of Funds'!$I$37="","",-FV('Part III-Sources of Funds'!$K$37/12,12,E83/12,D96))</f>
        <v/>
      </c>
      <c r="F96" s="3232" t="str">
        <f>IF('Part III-Sources of Funds'!$I$37="","",-FV('Part III-Sources of Funds'!$K$37/12,12,F83/12,E96))</f>
        <v/>
      </c>
      <c r="G96" s="3232" t="str">
        <f>IF('Part III-Sources of Funds'!$I$37="","",-FV('Part III-Sources of Funds'!$K$37/12,12,G83/12,F96))</f>
        <v/>
      </c>
      <c r="H96" s="3232" t="str">
        <f>IF('Part III-Sources of Funds'!$I$37="","",-FV('Part III-Sources of Funds'!$K$37/12,12,H83/12,G96))</f>
        <v/>
      </c>
      <c r="I96" s="3232" t="str">
        <f>IF('Part III-Sources of Funds'!$I$37="","",-FV('Part III-Sources of Funds'!$K$37/12,12,I83/12,H96))</f>
        <v/>
      </c>
      <c r="J96" s="3232" t="str">
        <f>IF('Part III-Sources of Funds'!$I$37="","",-FV('Part III-Sources of Funds'!$K$37/12,12,J83/12,I96))</f>
        <v/>
      </c>
      <c r="K96" s="3232" t="str">
        <f>IF('Part III-Sources of Funds'!$I$37="","",-FV('Part III-Sources of Funds'!$K$37/12,12,K83/12,J96))</f>
        <v/>
      </c>
      <c r="N96" s="3219"/>
      <c r="O96" s="3220"/>
    </row>
    <row r="97" spans="1:15" ht="13.15" customHeight="1">
      <c r="A97" s="435" t="s">
        <v>2634</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2635</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2419</v>
      </c>
      <c r="B102" s="20">
        <f>$B$14*(1+$B$5)^(B101-1)</f>
        <v>542582.49434865487</v>
      </c>
      <c r="C102" s="20">
        <f>$B$14*(1+$B$5)^(C101-1)</f>
        <v>553434.14423562784</v>
      </c>
      <c r="D102" s="20">
        <f>$B$14*(1+$B$5)^(D101-1)</f>
        <v>564502.82712034055</v>
      </c>
      <c r="E102" s="20">
        <f>$B$14*(1+$B$5)^(E101-1)</f>
        <v>575792.88366274745</v>
      </c>
      <c r="F102" s="670">
        <f>$B$14*(1+$B$5)^(F101-1)</f>
        <v>587308.74133600225</v>
      </c>
      <c r="G102" s="18"/>
      <c r="H102" s="18"/>
      <c r="I102" s="18"/>
      <c r="J102" s="18"/>
      <c r="K102" s="18"/>
      <c r="N102" s="3217"/>
      <c r="O102" s="3218"/>
    </row>
    <row r="103" spans="1:15" ht="13.15" customHeight="1">
      <c r="A103" s="22" t="s">
        <v>1026</v>
      </c>
      <c r="B103" s="23">
        <f>$B$15*(1+$B$5)^(B101-1)</f>
        <v>10851.649886973099</v>
      </c>
      <c r="C103" s="23">
        <f>$B$15*(1+$B$5)^(C101-1)</f>
        <v>11068.682884712558</v>
      </c>
      <c r="D103" s="23">
        <f>$B$15*(1+$B$5)^(D101-1)</f>
        <v>11290.056542406812</v>
      </c>
      <c r="E103" s="23">
        <f>$B$15*(1+$B$5)^(E101-1)</f>
        <v>11515.857673254948</v>
      </c>
      <c r="F103" s="24">
        <f>$B$15*(1+$B$5)^(F101-1)</f>
        <v>11746.174826720046</v>
      </c>
      <c r="G103" s="18"/>
      <c r="H103" s="18"/>
      <c r="I103" s="18"/>
      <c r="J103" s="18"/>
      <c r="K103" s="18"/>
      <c r="N103" s="3219"/>
      <c r="O103" s="3220"/>
    </row>
    <row r="104" spans="1:15" ht="13.15" customHeight="1">
      <c r="A104" s="22" t="s">
        <v>2420</v>
      </c>
      <c r="B104" s="23">
        <f>-(B102+B103)*$B$8</f>
        <v>-38740.39009649396</v>
      </c>
      <c r="C104" s="23">
        <f>-(C102+C103)*$B$8</f>
        <v>-39515.19789842383</v>
      </c>
      <c r="D104" s="23">
        <f>-(D102+D103)*$B$8</f>
        <v>-40305.501856392315</v>
      </c>
      <c r="E104" s="23">
        <f>-(E102+E103)*$B$8</f>
        <v>-41111.611893520167</v>
      </c>
      <c r="F104" s="24">
        <f>-(F102+F103)*$B$8</f>
        <v>-41933.844131390564</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-456932.16020145331</v>
      </c>
      <c r="C107" s="23">
        <f>$B$19*(1+$B$6)^(C101-1)</f>
        <v>-470640.12500749703</v>
      </c>
      <c r="D107" s="23">
        <f>$B$19*(1+$B$6)^(D101-1)</f>
        <v>-484759.32875772181</v>
      </c>
      <c r="E107" s="23">
        <f>$B$19*(1+$B$6)^(E101-1)</f>
        <v>-499302.10862045351</v>
      </c>
      <c r="F107" s="24">
        <f>$B$19*(1+$B$6)^(F101-1)</f>
        <v>-514281.17187906703</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-58254</v>
      </c>
      <c r="C108" s="23">
        <f>IF(AND('Part VII-Pro Forma'!$G$8="Yes",'Part VII-Pro Forma'!$G$9="Yes"),"Choose One!",IF('Part VII-Pro Forma'!$G$8="Yes",ROUND((-$K$8*(1+'Part VII-Pro Forma'!$B$6)^('Part VII-Pro Forma'!C101-1)),),IF('Part VII-Pro Forma'!$G$9="Yes",ROUND((-(SUM(C102:C105)*'Part VII-Pro Forma'!$K$9)),),"Choose mgt fee")))</f>
        <v>-60002</v>
      </c>
      <c r="D108" s="23">
        <f>IF(AND('Part VII-Pro Forma'!$G$8="Yes",'Part VII-Pro Forma'!$G$9="Yes"),"Choose One!",IF('Part VII-Pro Forma'!$G$8="Yes",ROUND((-$K$8*(1+'Part VII-Pro Forma'!$B$6)^('Part VII-Pro Forma'!D101-1)),),IF('Part VII-Pro Forma'!$G$9="Yes",ROUND((-(SUM(D102:D105)*'Part VII-Pro Forma'!$K$9)),),"Choose mgt fee")))</f>
        <v>-61802</v>
      </c>
      <c r="E108" s="23">
        <f>IF(AND('Part VII-Pro Forma'!$G$8="Yes",'Part VII-Pro Forma'!$G$9="Yes"),"Choose One!",IF('Part VII-Pro Forma'!$G$8="Yes",ROUND((-$K$8*(1+'Part VII-Pro Forma'!$B$6)^('Part VII-Pro Forma'!E101-1)),),IF('Part VII-Pro Forma'!$G$9="Yes",ROUND((-(SUM(E102:E105)*'Part VII-Pro Forma'!$K$9)),),"Choose mgt fee")))</f>
        <v>-63656</v>
      </c>
      <c r="F108" s="24">
        <f>IF(AND('Part VII-Pro Forma'!$G$8="Yes",'Part VII-Pro Forma'!$G$9="Yes"),"Choose One!",IF('Part VII-Pro Forma'!$G$8="Yes",ROUND((-$K$8*(1+'Part VII-Pro Forma'!$B$6)^('Part VII-Pro Forma'!F101-1)),),IF('Part VII-Pro Forma'!$G$9="Yes",ROUND((-(SUM(F102:F105)*'Part VII-Pro Forma'!$K$9)),),"Choose mgt fee")))</f>
        <v>-65566</v>
      </c>
      <c r="G108" s="18"/>
      <c r="H108" s="18"/>
      <c r="I108" s="18"/>
      <c r="J108" s="18"/>
      <c r="K108" s="18"/>
      <c r="N108" s="3219"/>
      <c r="O108" s="3220"/>
    </row>
    <row r="109" spans="1:15" ht="13.15" customHeight="1">
      <c r="A109" s="22" t="s">
        <v>1214</v>
      </c>
      <c r="B109" s="23">
        <f>$B$21*(1+$B$7)^(B101-1)</f>
        <v>-30340.780889870737</v>
      </c>
      <c r="C109" s="23">
        <f>$B$21*(1+$B$7)^(C101-1)</f>
        <v>-31251.004316566865</v>
      </c>
      <c r="D109" s="23">
        <f>$B$21*(1+$B$7)^(D101-1)</f>
        <v>-32188.534446063866</v>
      </c>
      <c r="E109" s="23">
        <f>$B$21*(1+$B$7)^(E101-1)</f>
        <v>-33154.190479445781</v>
      </c>
      <c r="F109" s="24">
        <f>$B$21*(1+$B$7)^(F101-1)</f>
        <v>-34148.816193829152</v>
      </c>
      <c r="G109" s="18"/>
      <c r="H109" s="18"/>
      <c r="I109" s="18"/>
      <c r="J109" s="18"/>
      <c r="K109" s="18"/>
      <c r="N109" s="3219"/>
      <c r="O109" s="3220"/>
    </row>
    <row r="110" spans="1:15" ht="13.15" customHeight="1">
      <c r="A110" s="22" t="s">
        <v>1215</v>
      </c>
      <c r="B110" s="23">
        <f>SUM(B102:B109)</f>
        <v>-30833.18695219003</v>
      </c>
      <c r="C110" s="23">
        <f>SUM(C102:C109)</f>
        <v>-36905.500102147344</v>
      </c>
      <c r="D110" s="23">
        <f>SUM(D102:D109)</f>
        <v>-43262.481397430711</v>
      </c>
      <c r="E110" s="23">
        <f>SUM(E102:E109)</f>
        <v>-49915.169657417035</v>
      </c>
      <c r="F110" s="24">
        <f>SUM(F102:F109)</f>
        <v>-56874.916041564466</v>
      </c>
      <c r="G110" s="18"/>
      <c r="H110" s="18"/>
      <c r="I110" s="18"/>
      <c r="J110" s="18"/>
      <c r="K110" s="18"/>
      <c r="N110" s="3219"/>
      <c r="O110" s="3220"/>
    </row>
    <row r="111" spans="1:15" ht="13.15" customHeight="1">
      <c r="A111" s="22" t="str">
        <f>$A83</f>
        <v>Mortgage A</v>
      </c>
      <c r="B111" s="3227">
        <f>IF('Part III-Sources of Funds'!$N$37="", 0,-'Part III-Sources of Funds'!$N$37)</f>
        <v>0</v>
      </c>
      <c r="C111" s="3227">
        <f>IF('Part III-Sources of Funds'!$N$37="", 0,-'Part III-Sources of Funds'!$N$37)</f>
        <v>0</v>
      </c>
      <c r="D111" s="3227">
        <f>IF('Part III-Sources of Funds'!$N$37="", 0,-'Part III-Sources of Funds'!$N$37)</f>
        <v>0</v>
      </c>
      <c r="E111" s="3227">
        <f>IF('Part III-Sources of Funds'!$N$37="", 0,-'Part III-Sources of Funds'!$N$37)</f>
        <v>0</v>
      </c>
      <c r="F111" s="3227">
        <f>IF('Part III-Sources of Funds'!$N$37="", 0,-'Part III-Sources of Funds'!$N$37)</f>
        <v>0</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f>+K88</f>
        <v>-5000</v>
      </c>
      <c r="C116" s="3231">
        <f>+B116</f>
        <v>-5000</v>
      </c>
      <c r="D116" s="3231">
        <f>+C116</f>
        <v>-5000</v>
      </c>
      <c r="E116" s="3231">
        <f>+D116</f>
        <v>-5000</v>
      </c>
      <c r="F116" s="3231">
        <f>+E116</f>
        <v>-5000</v>
      </c>
      <c r="G116" s="18"/>
      <c r="H116" s="18"/>
      <c r="I116" s="18"/>
      <c r="J116" s="18"/>
      <c r="K116" s="18"/>
      <c r="N116" s="3219"/>
      <c r="O116" s="3220"/>
    </row>
    <row r="117" spans="1:15" ht="13.15" customHeight="1">
      <c r="A117" s="22" t="s">
        <v>1175</v>
      </c>
      <c r="B117" s="23">
        <f>SUM(B110:B116)</f>
        <v>-35833.18695219003</v>
      </c>
      <c r="C117" s="23">
        <f>SUM(C110:C116)</f>
        <v>-41905.500102147344</v>
      </c>
      <c r="D117" s="23">
        <f>SUM(D110:D116)</f>
        <v>-48262.481397430711</v>
      </c>
      <c r="E117" s="23">
        <f>SUM(E110:E116)</f>
        <v>-54915.169657417035</v>
      </c>
      <c r="F117" s="24">
        <f>SUM(F110:F116)</f>
        <v>-61874.916041564466</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778</v>
      </c>
      <c r="B123" s="274">
        <f>IF(OR(B108="Choose mgt fee",B108="Choose One!"),"",(B102+B103+B104+B105+B106) / -(B107+B108+B109))</f>
        <v>0.94347999222456658</v>
      </c>
      <c r="C123" s="274">
        <f>IF(OR(C108="Choose mgt fee",C108="Choose One!"),"",(C102+C103+C104+C105+C106) / -(C107+C108+C109))</f>
        <v>0.93431936043328512</v>
      </c>
      <c r="D123" s="274">
        <f>IF(OR(D108="Choose mgt fee",D108="Choose One!"),"",(D102+D103+D104+D105+D106) / -(D107+D108+D109))</f>
        <v>0.92524839460359842</v>
      </c>
      <c r="E123" s="274">
        <f>IF(OR(E108="Choose mgt fee",E108="Choose One!"),"",(E102+E103+E104+E105+E106) / -(E107+E108+E109))</f>
        <v>0.91626549270534008</v>
      </c>
      <c r="F123" s="671">
        <f>IF(OR(F108="Choose mgt fee",F108="Choose One!"),"",(F102+F103+F104+F105+F106) / -(F107+F108+F109))</f>
        <v>0.90736923832340721</v>
      </c>
      <c r="G123" s="18"/>
      <c r="H123" s="18"/>
      <c r="I123" s="18"/>
      <c r="J123" s="18"/>
      <c r="K123" s="18"/>
      <c r="N123" s="3219"/>
      <c r="O123" s="3220"/>
    </row>
    <row r="124" spans="1:15" ht="13.15" customHeight="1">
      <c r="A124" s="435" t="s">
        <v>2633</v>
      </c>
      <c r="B124" s="3232" t="str">
        <f>IF('Part III-Sources of Funds'!$I$37="","",-FV('Part III-Sources of Funds'!$K$37/12,12,B111/12,K96))</f>
        <v/>
      </c>
      <c r="C124" s="3232" t="str">
        <f>IF('Part III-Sources of Funds'!$I$37="","",-FV('Part III-Sources of Funds'!$K$37/12,12,C111/12,B124))</f>
        <v/>
      </c>
      <c r="D124" s="3232" t="str">
        <f>IF('Part III-Sources of Funds'!$I$37="","",-FV('Part III-Sources of Funds'!$K$37/12,12,D111/12,C124))</f>
        <v/>
      </c>
      <c r="E124" s="3232" t="str">
        <f>IF('Part III-Sources of Funds'!$I$37="","",-FV('Part III-Sources of Funds'!$K$37/12,12,E111/12,D124))</f>
        <v/>
      </c>
      <c r="F124" s="3232" t="str">
        <f>IF('Part III-Sources of Funds'!$I$37="","",-FV('Part III-Sources of Funds'!$K$37/12,12,F111/12,E124))</f>
        <v/>
      </c>
      <c r="G124" s="18"/>
      <c r="H124" s="18"/>
      <c r="I124" s="18"/>
      <c r="J124" s="18"/>
      <c r="K124" s="18"/>
      <c r="N124" s="3219"/>
      <c r="O124" s="3220"/>
    </row>
    <row r="125" spans="1:15" ht="13.15" customHeight="1">
      <c r="A125" s="435" t="s">
        <v>2634</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2635</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3505</v>
      </c>
      <c r="B131" s="3234"/>
      <c r="C131" s="3234"/>
      <c r="D131" s="3234"/>
      <c r="E131" s="3234"/>
      <c r="F131" s="3235"/>
      <c r="G131" s="3236"/>
      <c r="H131" s="3237"/>
      <c r="I131" s="3237"/>
      <c r="J131" s="3237"/>
      <c r="K131" s="3238"/>
      <c r="N131" s="1697" t="s">
        <v>2709</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0KZ/epT1ehuK1H2Rhc25TyuW/sr3duu6tASh9/VXEDP1URaAADMkGNK6kDqa6aaB7SwosFe56+I9yUdIvb1CdQ==" saltValue="/qSBI3c/EfwFSBZyC7nRkg=="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27" priority="6">
      <formula>$G$6&lt;$G$5</formula>
    </cfRule>
  </conditionalFormatting>
  <conditionalFormatting sqref="A28">
    <cfRule type="expression" dxfId="26" priority="5">
      <formula>"or(B28&lt;$G$6,C28&lt;$G$6,D28&lt;$G$6,E28&lt;$G$6,F28&lt;$G$6,G28&lt;$G$6,H28&lt;$G$6,I28&lt;$G$6,J28&lt;$G$6,K28&lt;$G$6,)"</formula>
    </cfRule>
  </conditionalFormatting>
  <conditionalFormatting sqref="A58">
    <cfRule type="expression" dxfId="25" priority="2">
      <formula>"or(B28&lt;$G$6,C28&lt;$G$6,D28&lt;$G$6,E28&lt;$G$6,F28&lt;$G$6,G28&lt;$G$6,H28&lt;$G$6,I28&lt;$G$6,J28&lt;$G$6,K28&lt;$G$6,)"</formula>
    </cfRule>
  </conditionalFormatting>
  <conditionalFormatting sqref="A88">
    <cfRule type="expression" dxfId="24"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15"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2018-030 Sparrow Pointe at Forest Hill, Moultrie, Colquitt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1856</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3471</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2046</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2033</v>
      </c>
      <c r="B15" s="1971"/>
      <c r="C15" s="1971"/>
      <c r="D15" s="1971"/>
      <c r="E15" s="1971"/>
      <c r="F15" s="1971"/>
      <c r="G15" s="1971"/>
      <c r="H15" s="1971"/>
      <c r="I15" s="1971"/>
      <c r="J15" s="1971"/>
      <c r="K15" s="1971"/>
      <c r="L15" s="1971"/>
      <c r="M15" s="1971"/>
      <c r="N15" s="1971"/>
      <c r="O15" s="1971"/>
      <c r="P15" s="1971"/>
      <c r="Q15" s="1972"/>
      <c r="R15" s="1847" t="s">
        <v>2046</v>
      </c>
      <c r="S15" s="1696"/>
    </row>
    <row r="16" spans="1:32" ht="11.25" customHeight="1">
      <c r="A16" s="1970" t="s">
        <v>2034</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2035</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2036</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2037</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2038</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2039</v>
      </c>
      <c r="B21" s="1971"/>
      <c r="C21" s="1971"/>
      <c r="D21" s="1971"/>
      <c r="E21" s="1971"/>
      <c r="F21" s="1971"/>
      <c r="G21" s="1971"/>
      <c r="H21" s="1971"/>
      <c r="I21" s="1971"/>
      <c r="J21" s="1971"/>
      <c r="K21" s="1971"/>
      <c r="L21" s="1971"/>
      <c r="M21" s="1971"/>
      <c r="N21" s="1971"/>
      <c r="O21" s="1971"/>
      <c r="P21" s="1971"/>
      <c r="Q21" s="1972"/>
    </row>
    <row r="22" spans="1:31" ht="11.25" customHeight="1">
      <c r="A22" s="1970" t="s">
        <v>2040</v>
      </c>
      <c r="B22" s="1971"/>
      <c r="C22" s="1971"/>
      <c r="D22" s="1971"/>
      <c r="E22" s="1971"/>
      <c r="F22" s="1971"/>
      <c r="G22" s="1971"/>
      <c r="H22" s="1971"/>
      <c r="I22" s="1971"/>
      <c r="J22" s="1971"/>
      <c r="K22" s="1971"/>
      <c r="L22" s="1971"/>
      <c r="M22" s="1971"/>
      <c r="N22" s="1971"/>
      <c r="O22" s="1971"/>
      <c r="P22" s="1971"/>
      <c r="Q22" s="1972"/>
      <c r="R22" s="1847" t="s">
        <v>2046</v>
      </c>
      <c r="S22" s="1696"/>
    </row>
    <row r="23" spans="1:31" ht="11.25" customHeight="1">
      <c r="A23" s="1970" t="s">
        <v>2041</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2042</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2043</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2044</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2045</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2667</v>
      </c>
      <c r="C29" s="135"/>
      <c r="D29" s="89"/>
      <c r="E29" s="89"/>
      <c r="F29" s="89"/>
      <c r="G29" s="89"/>
      <c r="I29" s="1589"/>
      <c r="J29" s="1589"/>
      <c r="K29" s="1589"/>
      <c r="L29" s="1585"/>
      <c r="M29" s="1585"/>
      <c r="O29" s="136" t="s">
        <v>1880</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3" t="s">
        <v>4698</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1879</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2728</v>
      </c>
      <c r="C36" s="4"/>
      <c r="D36" s="4"/>
      <c r="E36" s="1592"/>
      <c r="G36" s="652"/>
      <c r="H36" s="652"/>
      <c r="I36" s="652"/>
      <c r="J36" s="43"/>
      <c r="L36" s="653"/>
      <c r="M36" s="653"/>
      <c r="N36" s="653"/>
      <c r="O36" s="136" t="s">
        <v>1880</v>
      </c>
      <c r="P36" s="1897"/>
      <c r="Q36" s="1904"/>
    </row>
    <row r="37" spans="1:295" ht="11.25" customHeight="1">
      <c r="A37" s="1999" t="s">
        <v>3472</v>
      </c>
      <c r="B37" s="1999"/>
      <c r="C37" s="1999"/>
      <c r="D37" s="1999"/>
      <c r="E37" s="1999"/>
      <c r="F37" s="1999"/>
      <c r="G37" s="2000" t="s">
        <v>2732</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2752</v>
      </c>
      <c r="Q38" s="3000" t="s">
        <v>3009</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2731</v>
      </c>
      <c r="E40" s="36"/>
      <c r="F40" s="658" t="s">
        <v>3474</v>
      </c>
      <c r="G40" s="1993" t="s">
        <v>3473</v>
      </c>
      <c r="H40" s="1993"/>
      <c r="I40" s="1993"/>
      <c r="J40" s="36"/>
      <c r="K40" s="658" t="s">
        <v>3474</v>
      </c>
      <c r="L40" s="1993" t="s">
        <v>3473</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3378</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92"/>
      <c r="P41" s="1952" t="s">
        <v>3921</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92"/>
      <c r="P42" s="1994" t="str">
        <f>IF('Part I-Project Information'!$F$38="","",VLOOKUP('Part I-Project Information'!$J$39,'DCA Underwriting Assumptions'!$G$155:$N$314,8,FALSE))</f>
        <v>Albany</v>
      </c>
      <c r="Q42" s="1995"/>
      <c r="R42" s="422"/>
      <c r="S42" s="1985" t="s">
        <v>4133</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92"/>
      <c r="P45" s="1961">
        <f>'Part IV-A-Uses of Funds'!$G$132</f>
        <v>10134678</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3388</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3373</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65" t="s">
        <v>4132</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2455</v>
      </c>
      <c r="E49" s="903">
        <v>1</v>
      </c>
      <c r="F49" s="904">
        <f>'Part VI-Revenues &amp; Expenses'!$K$106</f>
        <v>6</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6 units = </v>
      </c>
      <c r="I49" s="906">
        <f>F49*G49</f>
        <v>937836</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2456</v>
      </c>
      <c r="E50" s="903">
        <v>2</v>
      </c>
      <c r="F50" s="904">
        <f>'Part VI-Revenues &amp; Expenses'!$L$106</f>
        <v>24</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24 units = </v>
      </c>
      <c r="I50" s="906">
        <f>F50*G50</f>
        <v>4553616</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20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20 units = </v>
      </c>
      <c r="I51" s="906">
        <f>F51*G51</f>
        <v>4646120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3388</v>
      </c>
      <c r="E53" s="137"/>
      <c r="F53" s="1198">
        <f>SUM(F48:F52)</f>
        <v>50</v>
      </c>
      <c r="G53" s="659"/>
      <c r="H53" s="1199"/>
      <c r="I53" s="1200">
        <f>SUM(I48:I52)</f>
        <v>10137572</v>
      </c>
      <c r="J53" s="1201"/>
      <c r="K53" s="1198">
        <f>SUM(K48:K52)</f>
        <v>0</v>
      </c>
      <c r="L53" s="1201"/>
      <c r="M53" s="1199"/>
      <c r="N53" s="1200">
        <f>SUM(N48:N52)</f>
        <v>0</v>
      </c>
      <c r="O53" s="595"/>
      <c r="P53" s="1204" t="s">
        <v>3265</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3374</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3265</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54" t="s">
        <v>2787</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3388</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3375</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10137572</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0" t="s">
        <v>4296</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3388</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3389</v>
      </c>
      <c r="B69" s="1"/>
      <c r="C69" s="1"/>
      <c r="D69" s="93"/>
      <c r="E69" s="113"/>
      <c r="F69" s="650">
        <f>F46+F53+F60+F67</f>
        <v>50</v>
      </c>
      <c r="G69" s="346"/>
      <c r="H69" s="1951">
        <f>I46+I53+I60+I67</f>
        <v>10137572</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1879</v>
      </c>
      <c r="L70" s="1585"/>
      <c r="M70" s="1585"/>
      <c r="N70" s="1585"/>
      <c r="O70" s="1585"/>
      <c r="P70" s="1585"/>
      <c r="Q70" s="955"/>
    </row>
    <row r="71" spans="1:295" ht="10.5" customHeight="1">
      <c r="A71" s="3113" t="s">
        <v>4621</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Family</v>
      </c>
      <c r="K73" s="3117"/>
      <c r="L73" s="3118"/>
      <c r="O73" s="136" t="s">
        <v>1880</v>
      </c>
      <c r="P73" s="1897"/>
      <c r="Q73" s="1904"/>
    </row>
    <row r="74" spans="1:295" ht="10.5" customHeight="1">
      <c r="B74" s="98" t="s">
        <v>3779</v>
      </c>
      <c r="D74" s="98"/>
      <c r="E74" s="98"/>
      <c r="F74" s="98"/>
      <c r="G74" s="98"/>
      <c r="H74" s="41"/>
      <c r="I74" s="1589"/>
      <c r="J74" s="1589"/>
      <c r="K74" s="141" t="s">
        <v>1879</v>
      </c>
      <c r="L74" s="1585"/>
      <c r="M74" s="1585"/>
      <c r="N74" s="1585"/>
      <c r="O74" s="1585"/>
      <c r="P74" s="1585"/>
      <c r="Q74" s="955"/>
    </row>
    <row r="75" spans="1:295" ht="10.5" customHeight="1">
      <c r="A75" s="3113" t="s">
        <v>4622</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2668</v>
      </c>
      <c r="C77" s="116"/>
      <c r="D77" s="1592"/>
      <c r="E77" s="1592"/>
      <c r="F77" s="1592"/>
      <c r="G77" s="1592"/>
      <c r="H77" s="1592"/>
      <c r="I77" s="1592"/>
      <c r="J77" s="1592"/>
      <c r="K77" s="1592"/>
      <c r="L77" s="1592"/>
      <c r="M77" s="1592"/>
      <c r="O77" s="136" t="s">
        <v>1880</v>
      </c>
      <c r="P77" s="1897"/>
      <c r="Q77" s="1904"/>
    </row>
    <row r="78" spans="1:295" ht="1.5" customHeight="1"/>
    <row r="79" spans="1:295" ht="10.5" customHeight="1">
      <c r="A79" s="146" t="s">
        <v>1998</v>
      </c>
      <c r="B79" s="405" t="s">
        <v>3769</v>
      </c>
      <c r="D79" s="1003"/>
      <c r="E79" s="1003"/>
      <c r="F79" s="1003"/>
      <c r="G79" s="1003"/>
      <c r="H79" s="1003"/>
      <c r="I79" s="1003"/>
      <c r="K79" s="1003"/>
      <c r="L79" s="1003"/>
      <c r="M79" s="1004" t="s">
        <v>3722</v>
      </c>
      <c r="O79" s="147"/>
      <c r="P79" s="3000" t="s">
        <v>4635</v>
      </c>
    </row>
    <row r="80" spans="1:295" ht="10.5" customHeight="1">
      <c r="A80" s="48" t="s">
        <v>2000</v>
      </c>
      <c r="B80" s="956" t="s">
        <v>3768</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2722</v>
      </c>
      <c r="J81" s="3119" t="s">
        <v>4623</v>
      </c>
      <c r="K81" s="3120"/>
      <c r="L81" s="3120"/>
      <c r="M81" s="3120"/>
      <c r="N81" s="3120"/>
      <c r="O81" s="3120"/>
      <c r="P81" s="3120"/>
      <c r="Q81" s="3121"/>
    </row>
    <row r="82" spans="1:31" ht="10.9" customHeight="1">
      <c r="A82" s="148"/>
      <c r="B82" s="68" t="s">
        <v>1751</v>
      </c>
      <c r="C82" s="956" t="s">
        <v>3604</v>
      </c>
      <c r="E82" s="1594"/>
      <c r="F82" s="1594"/>
      <c r="G82" s="1594"/>
      <c r="H82" s="34"/>
      <c r="I82" s="37" t="s">
        <v>2722</v>
      </c>
      <c r="J82" s="3122" t="s">
        <v>4624</v>
      </c>
      <c r="K82" s="3123"/>
      <c r="L82" s="3123"/>
      <c r="M82" s="3123"/>
      <c r="N82" s="3123"/>
      <c r="O82" s="3123"/>
      <c r="P82" s="3123"/>
      <c r="Q82" s="3124"/>
    </row>
    <row r="83" spans="1:31" ht="10.9" customHeight="1">
      <c r="A83" s="148"/>
      <c r="B83" s="68" t="s">
        <v>1752</v>
      </c>
      <c r="C83" s="956" t="s">
        <v>3605</v>
      </c>
      <c r="E83" s="1594"/>
      <c r="F83" s="1594"/>
      <c r="G83" s="1594"/>
      <c r="H83" s="34"/>
      <c r="I83" s="37" t="s">
        <v>2722</v>
      </c>
      <c r="J83" s="3122"/>
      <c r="K83" s="3123"/>
      <c r="L83" s="3123"/>
      <c r="M83" s="3123"/>
      <c r="N83" s="3123"/>
      <c r="O83" s="3123"/>
      <c r="P83" s="3123"/>
      <c r="Q83" s="3124"/>
    </row>
    <row r="84" spans="1:31" ht="10.9" customHeight="1">
      <c r="A84" s="148"/>
      <c r="B84" s="484" t="s">
        <v>2380</v>
      </c>
      <c r="C84" s="956" t="s">
        <v>3932</v>
      </c>
      <c r="E84" s="1594"/>
      <c r="I84" s="37" t="s">
        <v>2722</v>
      </c>
      <c r="J84" s="3125"/>
      <c r="K84" s="3126"/>
      <c r="L84" s="3126"/>
      <c r="M84" s="3126"/>
      <c r="N84" s="3126"/>
      <c r="O84" s="3126"/>
      <c r="P84" s="3126"/>
      <c r="Q84" s="3127"/>
    </row>
    <row r="85" spans="1:31" ht="10.9" customHeight="1">
      <c r="A85" s="48" t="s">
        <v>757</v>
      </c>
      <c r="B85" s="41" t="s">
        <v>3590</v>
      </c>
      <c r="D85" s="956"/>
      <c r="E85" s="1594"/>
      <c r="J85" s="37"/>
      <c r="K85" s="37"/>
      <c r="L85" s="37"/>
      <c r="M85" s="37"/>
      <c r="N85" s="37"/>
      <c r="O85" s="37"/>
      <c r="P85" s="37"/>
      <c r="Q85" s="37"/>
    </row>
    <row r="86" spans="1:31" ht="10.9" customHeight="1">
      <c r="A86" s="148"/>
      <c r="B86" s="56" t="s">
        <v>3923</v>
      </c>
      <c r="D86" s="138"/>
      <c r="E86" s="138"/>
      <c r="F86" s="138"/>
      <c r="G86" s="138"/>
      <c r="H86" s="138"/>
      <c r="I86" s="43"/>
      <c r="J86" s="43"/>
      <c r="K86" s="484" t="s">
        <v>757</v>
      </c>
      <c r="L86" s="3128"/>
      <c r="M86" s="3129"/>
      <c r="N86" s="3129"/>
      <c r="O86" s="3129"/>
      <c r="P86" s="3130"/>
      <c r="Q86" s="560"/>
    </row>
    <row r="87" spans="1:31" ht="10.5" customHeight="1">
      <c r="B87" s="98" t="s">
        <v>3779</v>
      </c>
      <c r="D87" s="98"/>
      <c r="E87" s="98"/>
      <c r="F87" s="98"/>
      <c r="G87" s="98"/>
      <c r="H87" s="41"/>
      <c r="I87" s="1589"/>
      <c r="J87" s="1589"/>
      <c r="K87" s="141" t="s">
        <v>1879</v>
      </c>
      <c r="L87" s="1585"/>
      <c r="M87" s="1585"/>
      <c r="N87" s="1585"/>
      <c r="O87" s="1585"/>
      <c r="P87" s="1585"/>
      <c r="Q87" s="955"/>
    </row>
    <row r="88" spans="1:31" ht="10.5" customHeight="1">
      <c r="A88" s="3113" t="s">
        <v>4625</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2669</v>
      </c>
      <c r="C90" s="1586"/>
      <c r="D90" s="1592"/>
      <c r="E90" s="1592"/>
      <c r="F90" s="1592"/>
      <c r="G90" s="1592"/>
      <c r="H90" s="1592"/>
      <c r="I90" s="1592"/>
      <c r="J90" s="1592"/>
      <c r="K90" s="1592"/>
      <c r="O90" s="136" t="s">
        <v>1880</v>
      </c>
      <c r="P90" s="1897"/>
      <c r="Q90" s="1904"/>
    </row>
    <row r="91" spans="1:31" ht="3" customHeight="1"/>
    <row r="92" spans="1:31" ht="10.5" customHeight="1">
      <c r="A92" s="48" t="s">
        <v>1998</v>
      </c>
      <c r="B92" s="149" t="s">
        <v>2475</v>
      </c>
      <c r="D92" s="138"/>
      <c r="E92" s="138"/>
      <c r="F92" s="138"/>
      <c r="G92" s="138"/>
      <c r="H92" s="138"/>
      <c r="I92" s="43"/>
      <c r="J92" s="43"/>
      <c r="K92" s="43"/>
      <c r="L92" s="484" t="s">
        <v>1998</v>
      </c>
      <c r="M92" s="3131" t="s">
        <v>4626</v>
      </c>
      <c r="N92" s="3132"/>
      <c r="O92" s="3132"/>
      <c r="P92" s="3133"/>
      <c r="Q92" s="561"/>
    </row>
    <row r="93" spans="1:31" ht="10.5" customHeight="1">
      <c r="A93" s="48" t="s">
        <v>2000</v>
      </c>
      <c r="B93" s="53" t="s">
        <v>2051</v>
      </c>
      <c r="D93" s="138"/>
      <c r="E93" s="138"/>
      <c r="F93" s="138"/>
      <c r="L93" s="484" t="s">
        <v>2000</v>
      </c>
      <c r="M93" s="3134" t="s">
        <v>4671</v>
      </c>
      <c r="N93" s="3135"/>
      <c r="O93" s="3135"/>
      <c r="P93" s="3136"/>
      <c r="Q93" s="562"/>
    </row>
    <row r="94" spans="1:31" ht="10.5" customHeight="1">
      <c r="A94" s="48" t="s">
        <v>757</v>
      </c>
      <c r="B94" s="53" t="s">
        <v>2896</v>
      </c>
      <c r="D94" s="138"/>
      <c r="E94" s="138"/>
      <c r="F94" s="138"/>
      <c r="L94" s="484" t="s">
        <v>757</v>
      </c>
      <c r="M94" s="3137">
        <v>0.98299999999999998</v>
      </c>
      <c r="N94" s="3138"/>
      <c r="O94" s="3138"/>
      <c r="P94" s="3139"/>
      <c r="Q94" s="562"/>
    </row>
    <row r="95" spans="1:31" ht="10.5" customHeight="1">
      <c r="A95" s="48" t="s">
        <v>2130</v>
      </c>
      <c r="B95" s="53" t="s">
        <v>3925</v>
      </c>
      <c r="D95" s="138"/>
      <c r="E95" s="138"/>
      <c r="F95" s="138"/>
      <c r="L95" s="484" t="s">
        <v>3926</v>
      </c>
      <c r="M95" s="3140">
        <v>6.2E-2</v>
      </c>
      <c r="N95" s="1205"/>
      <c r="O95" s="1206" t="s">
        <v>4175</v>
      </c>
      <c r="P95" s="3141" t="s">
        <v>979</v>
      </c>
      <c r="Q95" s="563"/>
    </row>
    <row r="96" spans="1:31" ht="10.5" customHeight="1">
      <c r="A96" s="146" t="s">
        <v>1748</v>
      </c>
      <c r="B96" s="144" t="s">
        <v>3924</v>
      </c>
      <c r="D96" s="144"/>
      <c r="E96" s="144"/>
      <c r="F96" s="144"/>
      <c r="G96" s="144"/>
      <c r="H96" s="144"/>
      <c r="I96" s="144"/>
      <c r="J96" s="144"/>
      <c r="K96" s="144"/>
      <c r="L96" s="144"/>
      <c r="M96" s="144"/>
      <c r="N96" s="144"/>
      <c r="O96" s="144"/>
      <c r="P96" s="144"/>
      <c r="Q96" s="144"/>
    </row>
    <row r="97" spans="1:31" ht="10.5" customHeight="1">
      <c r="B97" s="48"/>
      <c r="C97" s="53"/>
      <c r="D97" s="1593" t="s">
        <v>2393</v>
      </c>
      <c r="E97" s="956" t="s">
        <v>623</v>
      </c>
      <c r="F97" s="956"/>
      <c r="H97" s="53"/>
      <c r="I97" s="1593" t="s">
        <v>2393</v>
      </c>
      <c r="J97" s="956" t="s">
        <v>623</v>
      </c>
      <c r="K97" s="956"/>
      <c r="M97" s="53"/>
      <c r="N97" s="1593" t="s">
        <v>2393</v>
      </c>
      <c r="O97" s="956" t="s">
        <v>623</v>
      </c>
      <c r="P97" s="956"/>
      <c r="Q97" s="484"/>
    </row>
    <row r="98" spans="1:31" ht="10.5" customHeight="1">
      <c r="C98" s="68" t="s">
        <v>1750</v>
      </c>
      <c r="D98" s="3142" t="s">
        <v>4672</v>
      </c>
      <c r="E98" s="3143" t="s">
        <v>4673</v>
      </c>
      <c r="F98" s="3143"/>
      <c r="G98" s="3143"/>
      <c r="H98" s="68" t="s">
        <v>1752</v>
      </c>
      <c r="I98" s="3142" t="s">
        <v>4677</v>
      </c>
      <c r="J98" s="3143" t="s">
        <v>4675</v>
      </c>
      <c r="K98" s="3143"/>
      <c r="L98" s="3143"/>
      <c r="M98" s="67" t="s">
        <v>1561</v>
      </c>
      <c r="N98" s="3142"/>
      <c r="O98" s="3143"/>
      <c r="P98" s="3143"/>
      <c r="Q98" s="3143"/>
    </row>
    <row r="99" spans="1:31" ht="10.5" customHeight="1">
      <c r="C99" s="68" t="s">
        <v>1751</v>
      </c>
      <c r="D99" s="3144" t="s">
        <v>4674</v>
      </c>
      <c r="E99" s="3145" t="s">
        <v>4676</v>
      </c>
      <c r="F99" s="3145"/>
      <c r="G99" s="3145"/>
      <c r="H99" s="484" t="s">
        <v>2380</v>
      </c>
      <c r="I99" s="3144"/>
      <c r="J99" s="3145"/>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t="s">
        <v>3009</v>
      </c>
      <c r="Q100" s="566"/>
    </row>
    <row r="101" spans="1:31" s="28" customFormat="1" ht="11.45" customHeight="1">
      <c r="A101" s="170" t="s">
        <v>1683</v>
      </c>
      <c r="E101" s="120"/>
      <c r="M101" s="400"/>
      <c r="O101" s="391"/>
      <c r="Q101" s="1297" t="s">
        <v>2526</v>
      </c>
      <c r="R101" s="951"/>
      <c r="S101" s="1355"/>
      <c r="T101" s="1169"/>
      <c r="U101" s="1169"/>
      <c r="V101" s="1169"/>
      <c r="W101" s="1169"/>
    </row>
    <row r="102" spans="1:31" s="406" customFormat="1" ht="21.75" customHeight="1">
      <c r="A102" s="146" t="s">
        <v>1961</v>
      </c>
      <c r="B102" s="1942" t="s">
        <v>3637</v>
      </c>
      <c r="C102" s="1942"/>
      <c r="D102" s="1942"/>
      <c r="E102" s="1942"/>
      <c r="F102" s="1942"/>
      <c r="G102" s="1942"/>
      <c r="H102" s="1942"/>
      <c r="I102" s="1942"/>
      <c r="J102" s="1942"/>
      <c r="K102" s="1942"/>
      <c r="L102" s="1942"/>
      <c r="M102" s="1942"/>
      <c r="N102" s="1942"/>
      <c r="O102" s="1942"/>
      <c r="P102" s="166" t="s">
        <v>1961</v>
      </c>
      <c r="Q102" s="1261"/>
      <c r="R102" s="952"/>
    </row>
    <row r="103" spans="1:31" s="406" customFormat="1" ht="21.75" customHeight="1">
      <c r="A103" s="146" t="s">
        <v>3390</v>
      </c>
      <c r="B103" s="1942" t="s">
        <v>2747</v>
      </c>
      <c r="C103" s="1942"/>
      <c r="D103" s="1942"/>
      <c r="E103" s="1942"/>
      <c r="F103" s="1942"/>
      <c r="G103" s="1942"/>
      <c r="H103" s="1942"/>
      <c r="I103" s="1942"/>
      <c r="J103" s="1942"/>
      <c r="K103" s="1942"/>
      <c r="L103" s="1942"/>
      <c r="M103" s="1942"/>
      <c r="N103" s="1942"/>
      <c r="O103" s="1942"/>
      <c r="P103" s="166" t="s">
        <v>3390</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3391</v>
      </c>
      <c r="B105" s="144" t="s">
        <v>3638</v>
      </c>
      <c r="L105" s="452"/>
      <c r="N105" s="391"/>
      <c r="P105" s="67" t="s">
        <v>3391</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13" t="s">
        <v>4678</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1879</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2670</v>
      </c>
      <c r="C110" s="1586"/>
      <c r="D110" s="1592"/>
      <c r="E110" s="1592"/>
      <c r="F110" s="1592"/>
      <c r="G110" s="1592"/>
      <c r="H110" s="1592"/>
      <c r="I110" s="1592"/>
      <c r="J110" s="1592"/>
      <c r="K110" s="1592"/>
      <c r="L110" s="1592"/>
      <c r="M110" s="1592"/>
      <c r="O110" s="136" t="s">
        <v>1880</v>
      </c>
      <c r="P110" s="1897"/>
      <c r="Q110" s="1904"/>
    </row>
    <row r="111" spans="1:31" ht="3" customHeight="1"/>
    <row r="112" spans="1:31" ht="10.5" customHeight="1">
      <c r="A112" s="48" t="s">
        <v>1998</v>
      </c>
      <c r="B112" s="53" t="s">
        <v>498</v>
      </c>
      <c r="C112" s="53"/>
      <c r="E112" s="53"/>
      <c r="F112" s="53"/>
      <c r="G112" s="53"/>
      <c r="H112" s="53"/>
      <c r="I112" s="53"/>
      <c r="J112" s="53"/>
      <c r="K112" s="53"/>
      <c r="L112" s="53"/>
      <c r="M112" s="53"/>
      <c r="O112" s="484" t="s">
        <v>1998</v>
      </c>
      <c r="P112" s="2929" t="s">
        <v>3012</v>
      </c>
      <c r="Q112" s="561"/>
    </row>
    <row r="113" spans="1:32" ht="10.5" customHeight="1">
      <c r="A113" s="48" t="s">
        <v>2000</v>
      </c>
      <c r="B113" s="53" t="s">
        <v>1316</v>
      </c>
      <c r="C113" s="53"/>
      <c r="E113" s="53"/>
      <c r="F113" s="53"/>
      <c r="G113" s="53"/>
      <c r="H113" s="53"/>
      <c r="I113" s="53"/>
      <c r="J113" s="53"/>
      <c r="K113" s="53"/>
      <c r="L113" s="956"/>
      <c r="M113" s="956"/>
      <c r="O113" s="484" t="s">
        <v>2000</v>
      </c>
      <c r="P113" s="2928" t="s">
        <v>3012</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89"/>
      <c r="B115" s="154" t="s">
        <v>1750</v>
      </c>
      <c r="C115" s="956" t="s">
        <v>3492</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3493</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2897</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2380</v>
      </c>
      <c r="C118" s="1892" t="s">
        <v>2705</v>
      </c>
      <c r="D118" s="1892"/>
      <c r="E118" s="1892"/>
      <c r="F118" s="1892"/>
      <c r="G118" s="1892"/>
      <c r="H118" s="1892"/>
      <c r="I118" s="1892"/>
      <c r="J118" s="1892"/>
      <c r="K118" s="1892"/>
      <c r="L118" s="1892"/>
      <c r="M118" s="1892"/>
      <c r="N118" s="1892"/>
      <c r="O118" s="166" t="s">
        <v>2380</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t="s">
        <v>3012</v>
      </c>
      <c r="Q119" s="563"/>
    </row>
    <row r="120" spans="1:32" ht="10.5" customHeight="1">
      <c r="A120" s="48" t="s">
        <v>2130</v>
      </c>
      <c r="B120" s="53" t="s">
        <v>1440</v>
      </c>
      <c r="D120" s="53"/>
      <c r="E120" s="53"/>
      <c r="G120" s="53"/>
      <c r="I120" s="53"/>
      <c r="K120" s="53"/>
      <c r="L120" s="956"/>
      <c r="M120" s="956"/>
      <c r="N120" s="956"/>
      <c r="O120" s="484" t="s">
        <v>2130</v>
      </c>
      <c r="P120" s="956"/>
      <c r="Q120" s="956"/>
    </row>
    <row r="121" spans="1:32" ht="10.5" customHeight="1">
      <c r="B121" s="68" t="s">
        <v>1750</v>
      </c>
      <c r="C121" s="53" t="s">
        <v>1441</v>
      </c>
      <c r="E121" s="53"/>
      <c r="F121" s="53"/>
      <c r="G121" s="53"/>
      <c r="H121" s="53"/>
      <c r="I121" s="53"/>
      <c r="J121" s="53"/>
      <c r="K121" s="53"/>
      <c r="L121" s="956"/>
      <c r="M121" s="956"/>
      <c r="O121" s="68" t="s">
        <v>1750</v>
      </c>
      <c r="P121" s="2929" t="s">
        <v>3009</v>
      </c>
      <c r="Q121" s="561"/>
    </row>
    <row r="122" spans="1:32" ht="10.5" customHeight="1">
      <c r="B122" s="68" t="s">
        <v>1751</v>
      </c>
      <c r="C122" s="53" t="s">
        <v>1442</v>
      </c>
      <c r="E122" s="53"/>
      <c r="F122" s="53"/>
      <c r="G122" s="53"/>
      <c r="H122" s="53"/>
      <c r="I122" s="53"/>
      <c r="J122" s="53"/>
      <c r="K122" s="53"/>
      <c r="L122" s="956"/>
      <c r="M122" s="956"/>
      <c r="O122" s="68" t="s">
        <v>1751</v>
      </c>
      <c r="P122" s="2935" t="s">
        <v>3012</v>
      </c>
      <c r="Q122" s="562"/>
    </row>
    <row r="123" spans="1:32" ht="10.5" customHeight="1">
      <c r="B123" s="68" t="s">
        <v>1752</v>
      </c>
      <c r="C123" s="53" t="s">
        <v>1443</v>
      </c>
      <c r="E123" s="53"/>
      <c r="F123" s="53"/>
      <c r="G123" s="53"/>
      <c r="H123" s="53"/>
      <c r="I123" s="53"/>
      <c r="J123" s="53"/>
      <c r="K123" s="53"/>
      <c r="L123" s="956"/>
      <c r="M123" s="956"/>
      <c r="O123" s="68" t="s">
        <v>1752</v>
      </c>
      <c r="P123" s="2928" t="s">
        <v>3012</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3" t="s">
        <v>4663</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1879</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2671</v>
      </c>
      <c r="C128" s="41"/>
      <c r="D128" s="1592"/>
      <c r="E128" s="1592"/>
      <c r="F128" s="1592"/>
      <c r="G128" s="1592"/>
      <c r="H128" s="1592"/>
      <c r="I128" s="1592"/>
      <c r="J128" s="1592"/>
      <c r="K128" s="1592"/>
      <c r="L128" s="1592"/>
      <c r="M128" s="1592"/>
      <c r="O128" s="136" t="s">
        <v>1880</v>
      </c>
      <c r="P128" s="1897"/>
      <c r="Q128" s="1904"/>
    </row>
    <row r="129" spans="1:17" ht="6.6" customHeight="1"/>
    <row r="130" spans="1:17" ht="12" customHeight="1">
      <c r="A130" s="48" t="s">
        <v>1998</v>
      </c>
      <c r="B130" s="53" t="s">
        <v>3661</v>
      </c>
      <c r="D130" s="138"/>
      <c r="E130" s="138"/>
      <c r="F130" s="138"/>
      <c r="G130" s="138"/>
      <c r="H130" s="138"/>
      <c r="I130" s="43"/>
      <c r="J130" s="43"/>
      <c r="K130" s="484" t="s">
        <v>1998</v>
      </c>
      <c r="L130" s="3148" t="s">
        <v>4627</v>
      </c>
      <c r="M130" s="3148"/>
      <c r="N130" s="3148"/>
      <c r="O130" s="3148"/>
      <c r="P130" s="3148"/>
      <c r="Q130" s="560"/>
    </row>
    <row r="131" spans="1:17" ht="12" customHeight="1">
      <c r="A131" s="48" t="s">
        <v>2000</v>
      </c>
      <c r="B131" s="53" t="s">
        <v>1550</v>
      </c>
      <c r="D131" s="138"/>
      <c r="E131" s="138"/>
      <c r="F131" s="138"/>
      <c r="G131" s="138"/>
      <c r="H131" s="138"/>
      <c r="I131" s="43"/>
      <c r="J131" s="43"/>
      <c r="K131" s="138"/>
      <c r="L131" s="1594"/>
      <c r="O131" s="484" t="s">
        <v>2000</v>
      </c>
      <c r="P131" s="2980" t="s">
        <v>3012</v>
      </c>
      <c r="Q131" s="1005"/>
    </row>
    <row r="132" spans="1:17" ht="12" customHeight="1">
      <c r="A132" s="48" t="s">
        <v>757</v>
      </c>
      <c r="B132" s="53" t="s">
        <v>152</v>
      </c>
      <c r="D132" s="138"/>
      <c r="E132" s="138"/>
      <c r="F132" s="138"/>
      <c r="G132" s="138"/>
      <c r="H132" s="138"/>
      <c r="I132" s="43"/>
      <c r="J132" s="43"/>
      <c r="K132" s="1594"/>
      <c r="L132" s="1594"/>
      <c r="O132" s="484" t="s">
        <v>757</v>
      </c>
      <c r="P132" s="2928" t="s">
        <v>3009</v>
      </c>
      <c r="Q132" s="962"/>
    </row>
    <row r="133" spans="1:17" ht="12" customHeight="1">
      <c r="A133" s="48"/>
      <c r="B133" s="67" t="s">
        <v>1750</v>
      </c>
      <c r="C133" s="53" t="s">
        <v>2704</v>
      </c>
      <c r="E133" s="138"/>
      <c r="F133" s="138"/>
      <c r="G133" s="138"/>
      <c r="H133" s="138"/>
      <c r="I133" s="43"/>
      <c r="J133" s="43"/>
      <c r="K133" s="68" t="s">
        <v>1750</v>
      </c>
      <c r="L133" s="3148" t="s">
        <v>4627</v>
      </c>
      <c r="M133" s="3148"/>
      <c r="N133" s="3148"/>
      <c r="O133" s="3148"/>
      <c r="P133" s="3148"/>
      <c r="Q133" s="560"/>
    </row>
    <row r="134" spans="1:17" ht="12" customHeight="1">
      <c r="A134" s="143"/>
      <c r="B134" s="68" t="s">
        <v>1751</v>
      </c>
      <c r="C134" s="37" t="s">
        <v>3494</v>
      </c>
      <c r="E134" s="43"/>
      <c r="F134" s="43"/>
      <c r="G134" s="43"/>
      <c r="H134" s="53"/>
      <c r="I134" s="43"/>
      <c r="J134" s="43"/>
      <c r="K134" s="138"/>
      <c r="L134" s="1594"/>
      <c r="M134" s="1594"/>
      <c r="O134" s="484" t="s">
        <v>1751</v>
      </c>
      <c r="P134" s="2978" t="s">
        <v>4699</v>
      </c>
      <c r="Q134" s="566"/>
    </row>
    <row r="135" spans="1:17" ht="12" customHeight="1">
      <c r="A135" s="143"/>
      <c r="B135" s="484" t="s">
        <v>1752</v>
      </c>
      <c r="C135" s="53" t="s">
        <v>4162</v>
      </c>
      <c r="E135" s="43"/>
      <c r="F135" s="43"/>
      <c r="G135" s="43"/>
      <c r="H135" s="53"/>
      <c r="I135" s="43"/>
      <c r="J135" s="43"/>
      <c r="K135" s="138"/>
      <c r="L135" s="1594"/>
      <c r="M135" s="1594"/>
      <c r="N135" s="1594"/>
      <c r="O135" s="1594"/>
    </row>
    <row r="136" spans="1:17" ht="11.45" customHeight="1">
      <c r="A136" s="1585"/>
      <c r="B136" s="68"/>
      <c r="C136" s="3149" t="s">
        <v>4700</v>
      </c>
      <c r="D136" s="3149"/>
      <c r="E136" s="3149"/>
      <c r="F136" s="3149"/>
      <c r="G136" s="3149"/>
      <c r="H136" s="3149"/>
      <c r="I136" s="3149"/>
      <c r="J136" s="3149"/>
      <c r="K136" s="3149"/>
      <c r="L136" s="3149"/>
      <c r="M136" s="3149"/>
      <c r="N136" s="3149"/>
      <c r="O136" s="3149"/>
      <c r="P136" s="3149"/>
      <c r="Q136" s="3149"/>
    </row>
    <row r="137" spans="1:17" ht="12" customHeight="1">
      <c r="A137" s="48" t="s">
        <v>2130</v>
      </c>
      <c r="B137" s="53" t="s">
        <v>1272</v>
      </c>
      <c r="D137" s="138"/>
      <c r="E137" s="138"/>
      <c r="F137" s="138"/>
      <c r="G137" s="138"/>
      <c r="H137" s="138"/>
      <c r="I137" s="43"/>
      <c r="J137" s="43"/>
      <c r="K137" s="138"/>
      <c r="L137" s="1594"/>
      <c r="M137" s="1594"/>
      <c r="N137" s="1594"/>
      <c r="O137" s="484" t="s">
        <v>2130</v>
      </c>
    </row>
    <row r="138" spans="1:17" ht="12" customHeight="1">
      <c r="A138" s="48"/>
      <c r="B138" s="68" t="s">
        <v>1750</v>
      </c>
      <c r="C138" s="53" t="s">
        <v>150</v>
      </c>
      <c r="E138" s="138"/>
      <c r="F138" s="138"/>
      <c r="G138" s="138"/>
      <c r="H138" s="138"/>
      <c r="I138" s="43"/>
      <c r="J138" s="43"/>
      <c r="K138" s="138"/>
      <c r="L138" s="1594"/>
      <c r="M138" s="1594"/>
      <c r="O138" s="68" t="s">
        <v>1750</v>
      </c>
      <c r="P138" s="2929" t="s">
        <v>3012</v>
      </c>
      <c r="Q138" s="561"/>
    </row>
    <row r="139" spans="1:17" ht="12" customHeight="1">
      <c r="A139" s="48"/>
      <c r="B139" s="68" t="s">
        <v>1751</v>
      </c>
      <c r="C139" s="53" t="s">
        <v>1273</v>
      </c>
      <c r="E139" s="138"/>
      <c r="F139" s="138"/>
      <c r="G139" s="138"/>
      <c r="H139" s="43"/>
      <c r="I139" s="43"/>
      <c r="J139" s="43"/>
      <c r="K139" s="138"/>
      <c r="L139" s="1594"/>
      <c r="M139" s="1594"/>
      <c r="O139" s="68" t="s">
        <v>1751</v>
      </c>
      <c r="P139" s="2935" t="s">
        <v>3012</v>
      </c>
      <c r="Q139" s="562"/>
    </row>
    <row r="140" spans="1:17" ht="12" customHeight="1">
      <c r="A140" s="48"/>
      <c r="B140" s="68"/>
      <c r="C140" s="53" t="s">
        <v>2648</v>
      </c>
      <c r="E140" s="484" t="s">
        <v>2450</v>
      </c>
      <c r="F140" s="53" t="s">
        <v>2649</v>
      </c>
      <c r="G140" s="43"/>
      <c r="H140" s="53"/>
      <c r="I140" s="43"/>
      <c r="J140" s="43"/>
      <c r="K140" s="138"/>
      <c r="L140" s="1594"/>
      <c r="M140" s="1594"/>
      <c r="O140" s="484" t="s">
        <v>2450</v>
      </c>
      <c r="P140" s="3150">
        <v>7.7799999999999994E-2</v>
      </c>
      <c r="Q140" s="909"/>
    </row>
    <row r="141" spans="1:17" ht="12" customHeight="1">
      <c r="A141" s="48"/>
      <c r="B141" s="68"/>
      <c r="E141" s="484" t="s">
        <v>2451</v>
      </c>
      <c r="F141" s="53" t="s">
        <v>2650</v>
      </c>
      <c r="G141" s="43"/>
      <c r="H141" s="53"/>
      <c r="I141" s="43"/>
      <c r="J141" s="43"/>
      <c r="K141" s="138"/>
      <c r="L141" s="1594"/>
      <c r="M141" s="1594"/>
      <c r="O141" s="484" t="s">
        <v>2451</v>
      </c>
      <c r="P141" s="2935" t="s">
        <v>3012</v>
      </c>
      <c r="Q141" s="562"/>
    </row>
    <row r="142" spans="1:17" ht="12" customHeight="1">
      <c r="A142" s="48"/>
      <c r="B142" s="68"/>
      <c r="E142" s="484" t="s">
        <v>2452</v>
      </c>
      <c r="F142" s="53" t="s">
        <v>2651</v>
      </c>
      <c r="G142" s="43"/>
      <c r="H142" s="53"/>
      <c r="I142" s="43"/>
      <c r="J142" s="43"/>
      <c r="K142" s="138"/>
      <c r="L142" s="1594"/>
      <c r="M142" s="1594"/>
      <c r="O142" s="484" t="s">
        <v>2452</v>
      </c>
      <c r="P142" s="2935" t="s">
        <v>3009</v>
      </c>
      <c r="Q142" s="562"/>
    </row>
    <row r="143" spans="1:17" ht="12" customHeight="1">
      <c r="A143" s="48"/>
      <c r="B143" s="68" t="s">
        <v>1752</v>
      </c>
      <c r="C143" s="53" t="s">
        <v>1274</v>
      </c>
      <c r="E143" s="138"/>
      <c r="F143" s="138"/>
      <c r="G143" s="138"/>
      <c r="H143" s="53"/>
      <c r="I143" s="43"/>
      <c r="J143" s="43"/>
      <c r="K143" s="138"/>
      <c r="L143" s="1594"/>
      <c r="M143" s="1594"/>
      <c r="O143" s="68" t="s">
        <v>1752</v>
      </c>
      <c r="P143" s="2935" t="s">
        <v>3009</v>
      </c>
      <c r="Q143" s="562"/>
    </row>
    <row r="144" spans="1:17" ht="12" customHeight="1">
      <c r="A144" s="48"/>
      <c r="B144" s="68"/>
      <c r="C144" s="53" t="s">
        <v>2648</v>
      </c>
      <c r="E144" s="484" t="s">
        <v>2450</v>
      </c>
      <c r="F144" s="53" t="s">
        <v>2652</v>
      </c>
      <c r="G144" s="43"/>
      <c r="H144" s="53"/>
      <c r="I144" s="43"/>
      <c r="J144" s="43"/>
      <c r="K144" s="138"/>
      <c r="L144" s="1594"/>
      <c r="O144" s="484" t="s">
        <v>2450</v>
      </c>
      <c r="P144" s="3150">
        <v>5.9500000000000004E-3</v>
      </c>
      <c r="Q144" s="909"/>
    </row>
    <row r="145" spans="1:18" ht="12" customHeight="1">
      <c r="A145" s="48"/>
      <c r="B145" s="68"/>
      <c r="E145" s="484" t="s">
        <v>2451</v>
      </c>
      <c r="F145" s="53" t="s">
        <v>2653</v>
      </c>
      <c r="G145" s="43"/>
      <c r="H145" s="53"/>
      <c r="I145" s="43"/>
      <c r="J145" s="43"/>
      <c r="O145" s="484" t="s">
        <v>2451</v>
      </c>
      <c r="P145" s="2935" t="s">
        <v>3012</v>
      </c>
      <c r="Q145" s="562"/>
    </row>
    <row r="146" spans="1:18" ht="12" customHeight="1">
      <c r="A146" s="48"/>
      <c r="B146" s="68"/>
      <c r="E146" s="484" t="s">
        <v>2452</v>
      </c>
      <c r="F146" s="53" t="s">
        <v>2651</v>
      </c>
      <c r="G146" s="43"/>
      <c r="H146" s="53"/>
      <c r="I146" s="43"/>
      <c r="J146" s="43"/>
      <c r="O146" s="484" t="s">
        <v>2452</v>
      </c>
      <c r="P146" s="2935" t="s">
        <v>3009</v>
      </c>
      <c r="Q146" s="562"/>
    </row>
    <row r="147" spans="1:18" ht="12" customHeight="1">
      <c r="A147" s="37"/>
      <c r="B147" s="68" t="s">
        <v>2380</v>
      </c>
      <c r="C147" s="53" t="s">
        <v>2654</v>
      </c>
      <c r="E147" s="138"/>
      <c r="F147" s="138"/>
      <c r="G147" s="138"/>
      <c r="H147" s="138"/>
      <c r="I147" s="43"/>
      <c r="J147" s="43"/>
      <c r="O147" s="68" t="s">
        <v>2380</v>
      </c>
      <c r="P147" s="2928" t="s">
        <v>3009</v>
      </c>
      <c r="Q147" s="563"/>
    </row>
    <row r="148" spans="1:18" ht="12" customHeight="1">
      <c r="A148" s="48" t="s">
        <v>1748</v>
      </c>
      <c r="B148" s="150" t="s">
        <v>2429</v>
      </c>
      <c r="D148" s="138"/>
      <c r="E148" s="138"/>
      <c r="F148" s="138"/>
      <c r="G148" s="138"/>
      <c r="H148" s="138"/>
      <c r="I148" s="43"/>
      <c r="J148" s="43"/>
      <c r="K148" s="138"/>
      <c r="L148" s="1594"/>
      <c r="M148" s="1594"/>
      <c r="N148" s="1594"/>
      <c r="O148" s="1594"/>
      <c r="P148" s="1594"/>
      <c r="Q148" s="1594"/>
    </row>
    <row r="149" spans="1:18" ht="12" customHeight="1">
      <c r="B149" s="68" t="s">
        <v>1750</v>
      </c>
      <c r="C149" s="53" t="s">
        <v>2510</v>
      </c>
      <c r="E149" s="138"/>
      <c r="F149" s="2929" t="s">
        <v>3012</v>
      </c>
      <c r="G149" s="561"/>
      <c r="H149" s="68" t="s">
        <v>1561</v>
      </c>
      <c r="I149" s="56" t="s">
        <v>2656</v>
      </c>
      <c r="L149" s="2929" t="s">
        <v>3012</v>
      </c>
      <c r="M149" s="561"/>
      <c r="N149" s="484" t="s">
        <v>517</v>
      </c>
      <c r="O149" s="53" t="s">
        <v>1564</v>
      </c>
      <c r="P149" s="2929" t="s">
        <v>3012</v>
      </c>
      <c r="Q149" s="561"/>
    </row>
    <row r="150" spans="1:18" ht="12" customHeight="1">
      <c r="A150" s="37"/>
      <c r="B150" s="68" t="s">
        <v>1751</v>
      </c>
      <c r="C150" s="53" t="s">
        <v>2820</v>
      </c>
      <c r="E150" s="138"/>
      <c r="F150" s="2935" t="s">
        <v>3012</v>
      </c>
      <c r="G150" s="562"/>
      <c r="H150" s="68" t="s">
        <v>1562</v>
      </c>
      <c r="I150" s="56" t="s">
        <v>2657</v>
      </c>
      <c r="L150" s="2935" t="s">
        <v>3012</v>
      </c>
      <c r="M150" s="562"/>
      <c r="N150" s="484" t="s">
        <v>518</v>
      </c>
      <c r="O150" s="53" t="s">
        <v>1563</v>
      </c>
      <c r="P150" s="2935" t="s">
        <v>3012</v>
      </c>
      <c r="Q150" s="562"/>
    </row>
    <row r="151" spans="1:18" ht="12" customHeight="1">
      <c r="A151" s="37"/>
      <c r="B151" s="68" t="s">
        <v>1752</v>
      </c>
      <c r="C151" s="53" t="s">
        <v>2655</v>
      </c>
      <c r="E151" s="138"/>
      <c r="F151" s="2935" t="s">
        <v>3012</v>
      </c>
      <c r="G151" s="562"/>
      <c r="H151" s="484" t="s">
        <v>99</v>
      </c>
      <c r="I151" s="56" t="s">
        <v>3875</v>
      </c>
      <c r="L151" s="2935" t="s">
        <v>3012</v>
      </c>
      <c r="M151" s="562"/>
      <c r="N151" s="484" t="s">
        <v>2822</v>
      </c>
      <c r="O151" s="53" t="s">
        <v>1565</v>
      </c>
      <c r="P151" s="2928" t="s">
        <v>3012</v>
      </c>
      <c r="Q151" s="563"/>
    </row>
    <row r="152" spans="1:18" ht="12" customHeight="1">
      <c r="A152" s="37"/>
      <c r="B152" s="68" t="s">
        <v>2380</v>
      </c>
      <c r="C152" s="53" t="s">
        <v>2823</v>
      </c>
      <c r="E152" s="138"/>
      <c r="F152" s="2928" t="s">
        <v>3012</v>
      </c>
      <c r="G152" s="563"/>
      <c r="H152" s="484" t="s">
        <v>516</v>
      </c>
      <c r="I152" s="53" t="s">
        <v>2819</v>
      </c>
      <c r="L152" s="2928" t="s">
        <v>3012</v>
      </c>
      <c r="M152" s="563"/>
      <c r="O152" s="68"/>
    </row>
    <row r="153" spans="1:18" ht="12" customHeight="1">
      <c r="A153" s="37"/>
      <c r="B153" s="484" t="s">
        <v>2911</v>
      </c>
      <c r="C153" s="53" t="s">
        <v>2821</v>
      </c>
      <c r="E153" s="138"/>
      <c r="F153" s="138"/>
      <c r="G153" s="138"/>
      <c r="H153" s="138"/>
      <c r="I153" s="138"/>
      <c r="J153" s="138"/>
      <c r="K153" s="138"/>
      <c r="L153" s="138"/>
      <c r="M153" s="53"/>
      <c r="O153" s="68"/>
      <c r="P153" s="68"/>
    </row>
    <row r="154" spans="1:18" ht="12" customHeight="1">
      <c r="A154" s="37"/>
      <c r="C154" s="3149" t="s">
        <v>979</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2824</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1961</v>
      </c>
      <c r="B159" s="53" t="s">
        <v>1766</v>
      </c>
      <c r="D159" s="138"/>
      <c r="E159" s="138"/>
      <c r="F159" s="138"/>
      <c r="G159" s="138"/>
      <c r="H159" s="138"/>
      <c r="I159" s="43"/>
      <c r="J159" s="43"/>
      <c r="K159" s="138"/>
      <c r="L159" s="138"/>
      <c r="M159" s="1594"/>
      <c r="O159" s="484" t="s">
        <v>1961</v>
      </c>
      <c r="P159" s="2928" t="s">
        <v>979</v>
      </c>
      <c r="Q159" s="563"/>
    </row>
    <row r="160" spans="1:18" ht="12" customHeight="1">
      <c r="A160" s="425" t="s">
        <v>3484</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3390</v>
      </c>
      <c r="B161" s="1892" t="s">
        <v>149</v>
      </c>
      <c r="C161" s="1892"/>
      <c r="D161" s="1892"/>
      <c r="E161" s="1892"/>
      <c r="F161" s="1892"/>
      <c r="G161" s="1892"/>
      <c r="H161" s="1892"/>
      <c r="I161" s="1892"/>
      <c r="J161" s="1892"/>
      <c r="K161" s="1892"/>
      <c r="L161" s="1892"/>
      <c r="M161" s="166" t="s">
        <v>3390</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3391</v>
      </c>
      <c r="B163" s="956" t="s">
        <v>1427</v>
      </c>
      <c r="D163" s="11"/>
      <c r="E163" s="11"/>
      <c r="F163" s="11"/>
      <c r="G163" s="7"/>
      <c r="H163" s="7"/>
      <c r="I163" s="956"/>
      <c r="K163" s="7"/>
      <c r="L163" s="7"/>
      <c r="M163" s="7"/>
      <c r="O163" s="484" t="s">
        <v>3391</v>
      </c>
      <c r="P163" s="3000"/>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11.45" customHeight="1">
      <c r="A165" s="3113" t="s">
        <v>4628</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1879</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2672</v>
      </c>
      <c r="C170" s="1586"/>
      <c r="D170" s="1592"/>
      <c r="E170" s="1592"/>
      <c r="F170" s="1592"/>
      <c r="G170" s="1592"/>
      <c r="H170" s="1592"/>
      <c r="I170" s="1592"/>
      <c r="J170" s="1592"/>
      <c r="K170" s="1592"/>
      <c r="O170" s="136" t="s">
        <v>1880</v>
      </c>
      <c r="P170" s="1897"/>
      <c r="Q170" s="1904"/>
    </row>
    <row r="171" spans="1:32" ht="12" customHeight="1">
      <c r="A171" s="48" t="s">
        <v>1998</v>
      </c>
      <c r="B171" s="53" t="s">
        <v>3933</v>
      </c>
      <c r="D171" s="53"/>
      <c r="E171" s="53"/>
      <c r="F171" s="53"/>
      <c r="G171" s="53"/>
      <c r="I171" s="53" t="s">
        <v>2724</v>
      </c>
      <c r="K171" s="3156">
        <v>43465</v>
      </c>
      <c r="L171" s="3157"/>
      <c r="N171" s="53"/>
      <c r="O171" s="484" t="s">
        <v>1998</v>
      </c>
      <c r="P171" s="3000" t="s">
        <v>3009</v>
      </c>
      <c r="Q171" s="559"/>
    </row>
    <row r="172" spans="1:32" ht="12" customHeight="1">
      <c r="A172" s="48" t="s">
        <v>2000</v>
      </c>
      <c r="B172" s="144" t="s">
        <v>151</v>
      </c>
      <c r="D172" s="144"/>
      <c r="E172" s="144"/>
      <c r="F172" s="144"/>
      <c r="G172" s="144"/>
      <c r="H172" s="144"/>
      <c r="M172" s="484" t="s">
        <v>2000</v>
      </c>
      <c r="N172" s="3158" t="s">
        <v>4629</v>
      </c>
      <c r="O172" s="3159"/>
      <c r="P172" s="1905" t="s">
        <v>1784</v>
      </c>
      <c r="Q172" s="1906"/>
    </row>
    <row r="173" spans="1:32" ht="12" customHeight="1">
      <c r="A173" s="48" t="s">
        <v>757</v>
      </c>
      <c r="B173" s="144" t="s">
        <v>688</v>
      </c>
      <c r="D173" s="144"/>
      <c r="E173" s="144"/>
      <c r="F173" s="144"/>
      <c r="G173" s="144"/>
      <c r="H173" s="144"/>
      <c r="J173" s="484" t="s">
        <v>757</v>
      </c>
      <c r="K173" s="3128" t="s">
        <v>4568</v>
      </c>
      <c r="L173" s="3129"/>
      <c r="M173" s="3129"/>
      <c r="N173" s="3129"/>
      <c r="O173" s="3129"/>
      <c r="P173" s="3130"/>
      <c r="Q173" s="559"/>
    </row>
    <row r="174" spans="1:32" ht="12" customHeight="1">
      <c r="A174" s="48" t="s">
        <v>2130</v>
      </c>
      <c r="B174" s="144" t="s">
        <v>2899</v>
      </c>
      <c r="D174" s="144"/>
      <c r="E174" s="144"/>
      <c r="F174" s="144"/>
      <c r="G174" s="144"/>
      <c r="H174" s="144"/>
      <c r="J174" s="484"/>
      <c r="K174" s="484"/>
      <c r="L174" s="484"/>
      <c r="M174" s="484"/>
      <c r="N174" s="484"/>
      <c r="O174" s="484" t="s">
        <v>2130</v>
      </c>
      <c r="P174" s="3000" t="s">
        <v>3012</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3113" t="s">
        <v>4630</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1879</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2673</v>
      </c>
      <c r="C180" s="1586"/>
      <c r="D180" s="1592"/>
      <c r="E180" s="1592"/>
      <c r="F180" s="1592"/>
      <c r="G180" s="1592"/>
      <c r="H180" s="1592"/>
      <c r="I180" s="1592"/>
      <c r="J180" s="1592"/>
      <c r="K180" s="1592"/>
      <c r="L180" s="1592"/>
      <c r="M180" s="1592"/>
      <c r="O180" s="136" t="s">
        <v>1880</v>
      </c>
      <c r="P180" s="1897"/>
      <c r="Q180" s="1904"/>
    </row>
    <row r="181" spans="1:31" ht="21.75" customHeight="1">
      <c r="A181" s="146" t="s">
        <v>1998</v>
      </c>
      <c r="B181" s="1892" t="s">
        <v>3770</v>
      </c>
      <c r="C181" s="1892"/>
      <c r="D181" s="1892"/>
      <c r="E181" s="1892"/>
      <c r="F181" s="1892"/>
      <c r="G181" s="1892"/>
      <c r="H181" s="1892"/>
      <c r="I181" s="1892"/>
      <c r="J181" s="1892"/>
      <c r="K181" s="1892"/>
      <c r="L181" s="1892"/>
      <c r="M181" s="1892"/>
      <c r="N181" s="1892"/>
      <c r="O181" s="166" t="s">
        <v>1998</v>
      </c>
      <c r="P181" s="3071" t="s">
        <v>3009</v>
      </c>
      <c r="Q181" s="1261"/>
    </row>
    <row r="182" spans="1:31" ht="22.15" customHeight="1">
      <c r="A182" s="146" t="s">
        <v>2000</v>
      </c>
      <c r="B182" s="1892" t="s">
        <v>3662</v>
      </c>
      <c r="C182" s="1892"/>
      <c r="D182" s="1892"/>
      <c r="E182" s="1892"/>
      <c r="F182" s="1892"/>
      <c r="G182" s="1892"/>
      <c r="H182" s="1892"/>
      <c r="I182" s="1892"/>
      <c r="J182" s="1892"/>
      <c r="K182" s="1892"/>
      <c r="L182" s="1892"/>
      <c r="M182" s="1892"/>
      <c r="N182" s="1892"/>
      <c r="O182" s="166" t="s">
        <v>2000</v>
      </c>
      <c r="P182" s="3147"/>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3147" t="s">
        <v>3009</v>
      </c>
      <c r="Q183" s="564"/>
    </row>
    <row r="184" spans="1:31" ht="21.75" customHeight="1">
      <c r="A184" s="146" t="s">
        <v>2130</v>
      </c>
      <c r="B184" s="1892" t="s">
        <v>2658</v>
      </c>
      <c r="C184" s="1892"/>
      <c r="D184" s="1892"/>
      <c r="E184" s="1892"/>
      <c r="F184" s="1892"/>
      <c r="G184" s="1892"/>
      <c r="H184" s="1892"/>
      <c r="I184" s="1892"/>
      <c r="J184" s="1892"/>
      <c r="K184" s="1892"/>
      <c r="L184" s="1892"/>
      <c r="M184" s="1892"/>
      <c r="N184" s="1892"/>
      <c r="O184" s="166" t="s">
        <v>2130</v>
      </c>
      <c r="P184" s="3094"/>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13"/>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1879</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2674</v>
      </c>
      <c r="C190" s="1849"/>
      <c r="D190" s="1849"/>
      <c r="O190" s="136" t="s">
        <v>1880</v>
      </c>
      <c r="P190" s="1897"/>
      <c r="Q190" s="1904"/>
    </row>
    <row r="191" spans="1:31" ht="12" customHeight="1">
      <c r="A191" s="146" t="s">
        <v>1998</v>
      </c>
      <c r="B191" s="932" t="s">
        <v>472</v>
      </c>
      <c r="D191" s="932"/>
      <c r="E191" s="932"/>
      <c r="F191" s="932"/>
      <c r="G191" s="932"/>
      <c r="H191" s="932"/>
      <c r="I191" s="932"/>
      <c r="J191" s="932"/>
      <c r="K191" s="932"/>
      <c r="L191" s="932"/>
      <c r="M191" s="932"/>
      <c r="O191" s="166" t="s">
        <v>1998</v>
      </c>
      <c r="P191" s="2929" t="s">
        <v>3009</v>
      </c>
      <c r="Q191" s="561"/>
    </row>
    <row r="192" spans="1:31" ht="12" customHeight="1">
      <c r="A192" s="146" t="s">
        <v>2000</v>
      </c>
      <c r="B192" s="932" t="s">
        <v>2659</v>
      </c>
      <c r="D192" s="932"/>
      <c r="E192" s="932"/>
      <c r="F192" s="932"/>
      <c r="G192" s="932"/>
      <c r="H192" s="932"/>
      <c r="I192" s="932"/>
      <c r="J192" s="932"/>
      <c r="K192" s="932"/>
      <c r="L192" s="932"/>
      <c r="M192" s="932"/>
      <c r="O192" s="166" t="s">
        <v>2000</v>
      </c>
      <c r="P192" s="2935" t="s">
        <v>3009</v>
      </c>
      <c r="Q192" s="562"/>
    </row>
    <row r="193" spans="1:32" ht="12" customHeight="1">
      <c r="A193" s="146" t="s">
        <v>757</v>
      </c>
      <c r="B193" s="932" t="s">
        <v>2660</v>
      </c>
      <c r="D193" s="932"/>
      <c r="E193" s="932"/>
      <c r="F193" s="932"/>
      <c r="G193" s="932"/>
      <c r="H193" s="932"/>
      <c r="I193" s="932"/>
      <c r="J193" s="932"/>
      <c r="K193" s="932"/>
      <c r="L193" s="932"/>
      <c r="M193" s="932"/>
      <c r="O193" s="166" t="s">
        <v>757</v>
      </c>
      <c r="P193" s="2935" t="s">
        <v>3009</v>
      </c>
      <c r="Q193" s="562"/>
    </row>
    <row r="194" spans="1:32" ht="12" customHeight="1">
      <c r="A194" s="146"/>
      <c r="B194" s="1892" t="s">
        <v>2648</v>
      </c>
      <c r="C194" s="1892"/>
      <c r="D194" s="484" t="s">
        <v>1750</v>
      </c>
      <c r="E194" s="956" t="s">
        <v>2661</v>
      </c>
      <c r="G194" s="932"/>
      <c r="H194" s="932"/>
      <c r="I194" s="932"/>
      <c r="J194" s="932"/>
      <c r="K194" s="932"/>
      <c r="L194" s="932"/>
      <c r="M194" s="932"/>
      <c r="O194" s="459" t="s">
        <v>1750</v>
      </c>
      <c r="P194" s="2935" t="s">
        <v>3009</v>
      </c>
      <c r="Q194" s="562"/>
    </row>
    <row r="195" spans="1:32" ht="12" customHeight="1">
      <c r="A195" s="146"/>
      <c r="B195" s="1892"/>
      <c r="C195" s="1892"/>
      <c r="D195" s="484" t="s">
        <v>1751</v>
      </c>
      <c r="E195" s="956" t="s">
        <v>2662</v>
      </c>
      <c r="G195" s="932"/>
      <c r="H195" s="932"/>
      <c r="I195" s="932"/>
      <c r="J195" s="932"/>
      <c r="K195" s="932"/>
      <c r="L195" s="932"/>
      <c r="M195" s="932"/>
      <c r="O195" s="459" t="s">
        <v>1751</v>
      </c>
      <c r="P195" s="2935" t="s">
        <v>3009</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47" t="s">
        <v>3009</v>
      </c>
      <c r="Q196" s="564"/>
      <c r="AE196" s="487"/>
      <c r="AF196" s="487"/>
    </row>
    <row r="197" spans="1:32" ht="12" customHeight="1">
      <c r="A197" s="146"/>
      <c r="C197" s="932"/>
      <c r="D197" s="484" t="s">
        <v>2380</v>
      </c>
      <c r="E197" s="956" t="s">
        <v>2663</v>
      </c>
      <c r="G197" s="932"/>
      <c r="H197" s="932"/>
      <c r="I197" s="932"/>
      <c r="J197" s="932"/>
      <c r="K197" s="932"/>
      <c r="L197" s="932"/>
      <c r="M197" s="932"/>
      <c r="O197" s="459" t="s">
        <v>2380</v>
      </c>
      <c r="P197" s="2935" t="s">
        <v>3009</v>
      </c>
      <c r="Q197" s="562"/>
    </row>
    <row r="198" spans="1:32" s="137" customFormat="1" ht="21.75" customHeight="1">
      <c r="A198" s="146"/>
      <c r="C198" s="932"/>
      <c r="D198" s="166" t="s">
        <v>1561</v>
      </c>
      <c r="E198" s="1892" t="s">
        <v>2664</v>
      </c>
      <c r="F198" s="1892"/>
      <c r="G198" s="1892"/>
      <c r="H198" s="1892"/>
      <c r="I198" s="1892"/>
      <c r="J198" s="1892"/>
      <c r="K198" s="1892"/>
      <c r="L198" s="1892"/>
      <c r="M198" s="1892"/>
      <c r="N198" s="1892"/>
      <c r="O198" s="166" t="s">
        <v>1561</v>
      </c>
      <c r="P198" s="3147" t="s">
        <v>4631</v>
      </c>
      <c r="Q198" s="564"/>
      <c r="AE198" s="487"/>
      <c r="AF198" s="487"/>
    </row>
    <row r="199" spans="1:32" s="137" customFormat="1" ht="21.75" customHeight="1">
      <c r="A199" s="146"/>
      <c r="C199" s="932"/>
      <c r="D199" s="166" t="s">
        <v>1562</v>
      </c>
      <c r="E199" s="1892" t="s">
        <v>3927</v>
      </c>
      <c r="F199" s="1892"/>
      <c r="G199" s="1892"/>
      <c r="H199" s="1892"/>
      <c r="I199" s="1892"/>
      <c r="J199" s="1892"/>
      <c r="K199" s="1892"/>
      <c r="L199" s="1892"/>
      <c r="M199" s="1892"/>
      <c r="N199" s="1892"/>
      <c r="O199" s="166" t="s">
        <v>1562</v>
      </c>
      <c r="P199" s="3147" t="s">
        <v>4631</v>
      </c>
      <c r="Q199" s="564"/>
      <c r="AE199" s="487"/>
      <c r="AF199" s="487"/>
    </row>
    <row r="200" spans="1:32" ht="21.75" customHeight="1">
      <c r="A200" s="146" t="s">
        <v>2130</v>
      </c>
      <c r="B200" s="1892" t="s">
        <v>2665</v>
      </c>
      <c r="C200" s="1892"/>
      <c r="D200" s="1892"/>
      <c r="E200" s="1892"/>
      <c r="F200" s="1892"/>
      <c r="G200" s="1892"/>
      <c r="H200" s="1892"/>
      <c r="I200" s="1892"/>
      <c r="J200" s="1892"/>
      <c r="K200" s="1892"/>
      <c r="L200" s="1892"/>
      <c r="M200" s="1892"/>
      <c r="N200" s="1892"/>
      <c r="O200" s="166" t="s">
        <v>2130</v>
      </c>
      <c r="P200" s="3147" t="s">
        <v>3009</v>
      </c>
      <c r="Q200" s="564"/>
    </row>
    <row r="201" spans="1:32" ht="12" customHeight="1">
      <c r="A201" s="146" t="s">
        <v>1748</v>
      </c>
      <c r="B201" s="932" t="s">
        <v>2394</v>
      </c>
      <c r="D201" s="932"/>
      <c r="E201" s="932"/>
      <c r="F201" s="932"/>
      <c r="G201" s="932"/>
      <c r="H201" s="932"/>
      <c r="I201" s="932"/>
      <c r="J201" s="932"/>
      <c r="K201" s="932"/>
      <c r="L201" s="932"/>
      <c r="M201" s="932"/>
      <c r="O201" s="166" t="s">
        <v>1748</v>
      </c>
      <c r="P201" s="2928" t="s">
        <v>3009</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11.45" customHeight="1">
      <c r="A203" s="3113" t="s">
        <v>4632</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1879</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2675</v>
      </c>
      <c r="C207" s="1586"/>
      <c r="D207" s="1592"/>
      <c r="E207" s="151"/>
      <c r="F207" s="151"/>
      <c r="G207" s="1592"/>
      <c r="J207" s="957"/>
      <c r="K207" s="510"/>
      <c r="L207" s="510"/>
      <c r="M207" s="510"/>
      <c r="N207" s="510"/>
      <c r="O207" s="136" t="s">
        <v>1880</v>
      </c>
      <c r="P207" s="1897"/>
      <c r="Q207" s="1904"/>
    </row>
    <row r="208" spans="1:32" ht="11.25" customHeight="1">
      <c r="A208" s="143"/>
      <c r="B208" s="144" t="s">
        <v>98</v>
      </c>
      <c r="D208" s="144"/>
      <c r="E208" s="144"/>
      <c r="F208" s="144"/>
      <c r="G208" s="144"/>
      <c r="H208" s="68" t="s">
        <v>1750</v>
      </c>
      <c r="I208" s="53" t="s">
        <v>153</v>
      </c>
      <c r="J208" s="3131"/>
      <c r="K208" s="3132"/>
      <c r="L208" s="3132"/>
      <c r="M208" s="3132"/>
      <c r="N208" s="3160"/>
      <c r="O208" s="68" t="s">
        <v>1750</v>
      </c>
      <c r="P208" s="2929"/>
      <c r="Q208" s="561"/>
    </row>
    <row r="209" spans="1:31" ht="11.25" customHeight="1">
      <c r="A209" s="143"/>
      <c r="B209" s="145" t="s">
        <v>3779</v>
      </c>
      <c r="C209" s="107"/>
      <c r="D209" s="107"/>
      <c r="E209" s="107"/>
      <c r="F209" s="107"/>
      <c r="H209" s="68" t="s">
        <v>1751</v>
      </c>
      <c r="I209" s="53" t="s">
        <v>1608</v>
      </c>
      <c r="J209" s="3161" t="s">
        <v>4563</v>
      </c>
      <c r="K209" s="3162"/>
      <c r="L209" s="3162"/>
      <c r="M209" s="3162"/>
      <c r="N209" s="3163"/>
      <c r="O209" s="68" t="s">
        <v>1751</v>
      </c>
      <c r="P209" s="2928" t="s">
        <v>3009</v>
      </c>
      <c r="Q209" s="563"/>
    </row>
    <row r="210" spans="1:31" ht="11.45" customHeight="1">
      <c r="A210" s="3113" t="s">
        <v>4633</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1879</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2676</v>
      </c>
      <c r="C214" s="4"/>
      <c r="D214" s="89"/>
      <c r="E214" s="89"/>
      <c r="F214" s="89"/>
      <c r="G214" s="1592"/>
      <c r="H214" s="1592"/>
      <c r="I214" s="1592"/>
      <c r="J214" s="1592"/>
      <c r="K214" s="1592"/>
      <c r="L214" s="1592"/>
      <c r="M214" s="1592"/>
      <c r="O214" s="136" t="s">
        <v>1880</v>
      </c>
      <c r="P214" s="1897"/>
      <c r="Q214" s="1904"/>
    </row>
    <row r="215" spans="1:31" ht="4.1500000000000004" customHeight="1"/>
    <row r="216" spans="1:31" ht="11.45" customHeight="1">
      <c r="A216" s="146" t="s">
        <v>1998</v>
      </c>
      <c r="B216" s="544" t="s">
        <v>1750</v>
      </c>
      <c r="C216" s="420" t="s">
        <v>519</v>
      </c>
      <c r="E216" s="420"/>
      <c r="F216" s="420"/>
      <c r="G216" s="420"/>
      <c r="H216" s="420"/>
      <c r="I216" s="420"/>
      <c r="J216" s="420"/>
      <c r="K216" s="420"/>
      <c r="L216" s="420"/>
      <c r="M216" s="420"/>
      <c r="N216" s="420"/>
      <c r="O216" s="166" t="s">
        <v>1498</v>
      </c>
      <c r="P216" s="2929" t="s">
        <v>3012</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2000</v>
      </c>
      <c r="B218" s="1892" t="s">
        <v>1862</v>
      </c>
      <c r="C218" s="1892"/>
      <c r="D218" s="1892"/>
      <c r="E218" s="1892"/>
      <c r="F218" s="1892"/>
      <c r="G218" s="1892"/>
      <c r="H218" s="68" t="s">
        <v>1750</v>
      </c>
      <c r="I218" s="53" t="s">
        <v>641</v>
      </c>
      <c r="J218" s="3131" t="s">
        <v>4563</v>
      </c>
      <c r="K218" s="3132"/>
      <c r="L218" s="3132"/>
      <c r="M218" s="3132"/>
      <c r="N218" s="3160"/>
      <c r="O218" s="68" t="s">
        <v>1458</v>
      </c>
      <c r="P218" s="2935" t="s">
        <v>3009</v>
      </c>
      <c r="Q218" s="562"/>
    </row>
    <row r="219" spans="1:31" ht="11.45" customHeight="1">
      <c r="A219" s="155"/>
      <c r="B219" s="1892"/>
      <c r="C219" s="1892"/>
      <c r="D219" s="1892"/>
      <c r="E219" s="1892"/>
      <c r="F219" s="1892"/>
      <c r="G219" s="1892"/>
      <c r="H219" s="68" t="s">
        <v>1751</v>
      </c>
      <c r="I219" s="53" t="s">
        <v>117</v>
      </c>
      <c r="J219" s="3161" t="s">
        <v>4563</v>
      </c>
      <c r="K219" s="3162"/>
      <c r="L219" s="3162"/>
      <c r="M219" s="3162"/>
      <c r="N219" s="3163"/>
      <c r="O219" s="68" t="s">
        <v>1751</v>
      </c>
      <c r="P219" s="2935" t="s">
        <v>3009</v>
      </c>
      <c r="Q219" s="562"/>
    </row>
    <row r="220" spans="1:31" ht="12" customHeight="1">
      <c r="A220" s="48" t="s">
        <v>757</v>
      </c>
      <c r="B220" s="53" t="s">
        <v>3934</v>
      </c>
      <c r="D220" s="53"/>
      <c r="E220" s="53"/>
      <c r="F220" s="53"/>
      <c r="G220" s="53"/>
      <c r="H220" s="53"/>
      <c r="I220" s="53"/>
      <c r="J220" s="53"/>
      <c r="K220" s="43"/>
      <c r="L220" s="53"/>
      <c r="M220" s="53"/>
      <c r="O220" s="484" t="s">
        <v>757</v>
      </c>
      <c r="P220" s="2935"/>
      <c r="Q220" s="562"/>
    </row>
    <row r="221" spans="1:31" ht="12" customHeight="1">
      <c r="A221" s="48" t="s">
        <v>2130</v>
      </c>
      <c r="B221" s="53" t="s">
        <v>3935</v>
      </c>
      <c r="D221" s="53"/>
      <c r="E221" s="53"/>
      <c r="F221" s="53"/>
      <c r="G221" s="53"/>
      <c r="H221" s="53"/>
      <c r="I221" s="53"/>
      <c r="J221" s="53"/>
      <c r="K221" s="43"/>
      <c r="L221" s="53"/>
      <c r="M221" s="53"/>
      <c r="O221" s="484" t="s">
        <v>2130</v>
      </c>
      <c r="P221" s="2928"/>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13" t="s">
        <v>4634</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1879</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2677</v>
      </c>
      <c r="C227" s="116"/>
      <c r="D227" s="1592"/>
      <c r="E227" s="1592"/>
      <c r="F227" s="1592"/>
      <c r="G227" s="1592"/>
      <c r="H227" s="1592"/>
      <c r="I227" s="1592"/>
      <c r="J227" s="1592"/>
      <c r="K227" s="1592"/>
      <c r="L227" s="1592"/>
      <c r="M227" s="1592"/>
      <c r="O227" s="136" t="s">
        <v>1880</v>
      </c>
      <c r="P227" s="1897"/>
      <c r="Q227" s="1904"/>
    </row>
    <row r="228" spans="1:32" s="28" customFormat="1" ht="11.45" customHeight="1">
      <c r="B228" s="149" t="s">
        <v>1203</v>
      </c>
      <c r="N228" s="124"/>
      <c r="P228" s="3000" t="s">
        <v>3012</v>
      </c>
      <c r="Q228" s="559"/>
      <c r="AE228" s="120"/>
      <c r="AF228" s="120"/>
    </row>
    <row r="229" spans="1:32" ht="12" customHeight="1">
      <c r="A229" s="48" t="s">
        <v>1998</v>
      </c>
      <c r="B229" s="37" t="s">
        <v>3730</v>
      </c>
      <c r="D229" s="43"/>
      <c r="E229" s="43"/>
      <c r="F229" s="43"/>
      <c r="G229" s="43"/>
      <c r="H229" s="43"/>
      <c r="I229" s="43"/>
      <c r="J229" s="43"/>
      <c r="K229" s="43"/>
      <c r="L229" s="43"/>
      <c r="M229" s="43"/>
      <c r="O229" s="484" t="s">
        <v>1998</v>
      </c>
      <c r="P229" s="3000" t="s">
        <v>4635</v>
      </c>
      <c r="Q229" s="561"/>
    </row>
    <row r="230" spans="1:32" ht="11.45" customHeight="1">
      <c r="A230" s="48"/>
      <c r="B230" s="68" t="s">
        <v>1750</v>
      </c>
      <c r="C230" s="53" t="s">
        <v>1945</v>
      </c>
      <c r="E230" s="53"/>
      <c r="F230" s="53"/>
      <c r="G230" s="53"/>
      <c r="H230" s="53"/>
      <c r="I230" s="43"/>
      <c r="J230" s="68" t="s">
        <v>1498</v>
      </c>
      <c r="K230" s="3131" t="s">
        <v>537</v>
      </c>
      <c r="L230" s="3160"/>
      <c r="Q230" s="562"/>
    </row>
    <row r="231" spans="1:32" ht="11.45" customHeight="1">
      <c r="A231" s="48"/>
      <c r="B231" s="68" t="s">
        <v>1751</v>
      </c>
      <c r="C231" s="956" t="s">
        <v>2740</v>
      </c>
      <c r="E231" s="956"/>
      <c r="F231" s="956"/>
      <c r="G231" s="956"/>
      <c r="H231" s="956"/>
      <c r="I231" s="43"/>
      <c r="J231" s="68" t="s">
        <v>1499</v>
      </c>
      <c r="K231" s="3164" t="s">
        <v>4636</v>
      </c>
      <c r="L231" s="3165"/>
      <c r="M231" s="3166" t="s">
        <v>2741</v>
      </c>
      <c r="N231" s="3167"/>
      <c r="O231" s="3167"/>
      <c r="P231" s="3168"/>
      <c r="Q231" s="562"/>
    </row>
    <row r="232" spans="1:32" ht="11.45" customHeight="1">
      <c r="A232" s="48"/>
      <c r="B232" s="68" t="s">
        <v>1752</v>
      </c>
      <c r="C232" s="956" t="s">
        <v>563</v>
      </c>
      <c r="E232" s="956"/>
      <c r="F232" s="956"/>
      <c r="G232" s="956"/>
      <c r="H232" s="956"/>
      <c r="I232" s="43"/>
      <c r="J232" s="68" t="s">
        <v>1500</v>
      </c>
      <c r="K232" s="3161" t="s">
        <v>4637</v>
      </c>
      <c r="L232" s="3162"/>
      <c r="M232" s="3163"/>
      <c r="N232" s="1284"/>
      <c r="O232" s="1285"/>
      <c r="P232" s="1286"/>
      <c r="Q232" s="563"/>
      <c r="R232" s="43"/>
    </row>
    <row r="233" spans="1:32" ht="12" customHeight="1">
      <c r="A233" s="48" t="s">
        <v>2000</v>
      </c>
      <c r="B233" s="53" t="s">
        <v>2525</v>
      </c>
      <c r="D233" s="53"/>
      <c r="E233" s="53"/>
      <c r="F233" s="53"/>
      <c r="G233" s="53"/>
      <c r="H233" s="53"/>
      <c r="I233" s="53"/>
      <c r="J233" s="53"/>
      <c r="K233" s="43"/>
      <c r="L233" s="43"/>
      <c r="M233" s="43"/>
      <c r="N233" s="43"/>
      <c r="O233" s="484" t="s">
        <v>2000</v>
      </c>
      <c r="P233" s="3000" t="s">
        <v>4635</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2742</v>
      </c>
      <c r="D235" s="53"/>
      <c r="E235" s="53"/>
      <c r="F235" s="53"/>
      <c r="H235" s="302" t="s">
        <v>781</v>
      </c>
      <c r="I235" s="303" t="s">
        <v>782</v>
      </c>
      <c r="K235" s="53" t="s">
        <v>2742</v>
      </c>
      <c r="M235" s="43"/>
      <c r="N235" s="43"/>
      <c r="O235" s="302"/>
      <c r="P235" s="304" t="s">
        <v>781</v>
      </c>
      <c r="Q235" s="303" t="s">
        <v>782</v>
      </c>
    </row>
    <row r="236" spans="1:32" s="44" customFormat="1" ht="11.45" customHeight="1">
      <c r="A236" s="52"/>
      <c r="B236" s="68" t="s">
        <v>1750</v>
      </c>
      <c r="C236" s="3169" t="s">
        <v>4638</v>
      </c>
      <c r="D236" s="3170"/>
      <c r="E236" s="3170"/>
      <c r="F236" s="3170"/>
      <c r="G236" s="3171"/>
      <c r="H236" s="568"/>
      <c r="I236" s="569"/>
      <c r="J236" s="68" t="s">
        <v>1752</v>
      </c>
      <c r="K236" s="3169" t="s">
        <v>4229</v>
      </c>
      <c r="L236" s="3170"/>
      <c r="M236" s="3170"/>
      <c r="N236" s="3170"/>
      <c r="O236" s="3171"/>
      <c r="P236" s="561"/>
      <c r="Q236" s="569"/>
      <c r="AE236" s="55"/>
      <c r="AF236" s="55"/>
    </row>
    <row r="237" spans="1:32" s="44" customFormat="1" ht="11.45" customHeight="1">
      <c r="A237" s="52"/>
      <c r="B237" s="68" t="s">
        <v>1751</v>
      </c>
      <c r="C237" s="3172" t="s">
        <v>4639</v>
      </c>
      <c r="D237" s="3173"/>
      <c r="E237" s="3173"/>
      <c r="F237" s="3173"/>
      <c r="G237" s="3174"/>
      <c r="H237" s="570"/>
      <c r="I237" s="571"/>
      <c r="J237" s="68" t="s">
        <v>2380</v>
      </c>
      <c r="K237" s="3172"/>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4635</v>
      </c>
      <c r="Q238" s="561"/>
    </row>
    <row r="239" spans="1:32" ht="11.45" customHeight="1">
      <c r="A239" s="48"/>
      <c r="B239" s="68" t="s">
        <v>1750</v>
      </c>
      <c r="C239" s="53" t="s">
        <v>3486</v>
      </c>
      <c r="E239" s="53"/>
      <c r="F239" s="53"/>
      <c r="L239" s="34"/>
      <c r="M239" s="34"/>
      <c r="O239" s="68" t="s">
        <v>1750</v>
      </c>
      <c r="P239" s="2935" t="s">
        <v>3009</v>
      </c>
      <c r="Q239" s="562"/>
    </row>
    <row r="240" spans="1:32" ht="11.45" customHeight="1">
      <c r="B240" s="68" t="s">
        <v>1751</v>
      </c>
      <c r="C240" s="956" t="s">
        <v>2825</v>
      </c>
      <c r="E240" s="956"/>
      <c r="F240" s="956"/>
      <c r="L240" s="34"/>
      <c r="M240" s="34"/>
      <c r="O240" s="68" t="s">
        <v>1751</v>
      </c>
      <c r="P240" s="2935" t="s">
        <v>3009</v>
      </c>
      <c r="Q240" s="562"/>
    </row>
    <row r="241" spans="1:31" ht="11.45" customHeight="1">
      <c r="B241" s="68" t="s">
        <v>1752</v>
      </c>
      <c r="C241" s="956" t="s">
        <v>2826</v>
      </c>
      <c r="E241" s="956"/>
      <c r="F241" s="956"/>
      <c r="G241" s="956"/>
      <c r="H241" s="956"/>
      <c r="I241" s="43"/>
      <c r="J241" s="34"/>
      <c r="K241" s="43"/>
      <c r="L241" s="34"/>
      <c r="M241" s="34"/>
      <c r="O241" s="68" t="s">
        <v>1752</v>
      </c>
      <c r="P241" s="2935" t="s">
        <v>3009</v>
      </c>
      <c r="Q241" s="562"/>
    </row>
    <row r="242" spans="1:31" ht="11.45" customHeight="1">
      <c r="A242" s="48"/>
      <c r="B242" s="68" t="s">
        <v>2380</v>
      </c>
      <c r="C242" s="956" t="s">
        <v>2827</v>
      </c>
      <c r="E242" s="956"/>
      <c r="F242" s="956"/>
      <c r="G242" s="956"/>
      <c r="H242" s="956"/>
      <c r="I242" s="43"/>
      <c r="J242" s="34"/>
      <c r="K242" s="43"/>
      <c r="L242" s="34"/>
      <c r="M242" s="34"/>
      <c r="O242" s="68" t="s">
        <v>2380</v>
      </c>
      <c r="P242" s="2935" t="s">
        <v>3009</v>
      </c>
      <c r="Q242" s="562"/>
    </row>
    <row r="243" spans="1:31" ht="11.45" customHeight="1">
      <c r="A243" s="48"/>
      <c r="B243" s="68" t="s">
        <v>1561</v>
      </c>
      <c r="C243" s="956" t="s">
        <v>2828</v>
      </c>
      <c r="E243" s="956"/>
      <c r="F243" s="956"/>
      <c r="G243" s="956"/>
      <c r="H243" s="956"/>
      <c r="I243" s="43"/>
      <c r="J243" s="34"/>
      <c r="K243" s="43"/>
      <c r="L243" s="34"/>
      <c r="M243" s="34"/>
      <c r="O243" s="68" t="s">
        <v>1561</v>
      </c>
      <c r="P243" s="2935" t="s">
        <v>3009</v>
      </c>
      <c r="Q243" s="562"/>
    </row>
    <row r="244" spans="1:31" ht="11.45" customHeight="1">
      <c r="A244" s="48"/>
      <c r="B244" s="484" t="s">
        <v>1562</v>
      </c>
      <c r="C244" s="53" t="s">
        <v>783</v>
      </c>
      <c r="E244" s="53"/>
      <c r="F244" s="53"/>
      <c r="G244" s="53"/>
      <c r="H244" s="53"/>
      <c r="I244" s="43"/>
      <c r="J244" s="34"/>
      <c r="K244" s="43"/>
      <c r="L244" s="34"/>
      <c r="M244" s="34"/>
      <c r="O244" s="484" t="s">
        <v>2816</v>
      </c>
      <c r="P244" s="2935" t="s">
        <v>3009</v>
      </c>
      <c r="Q244" s="562"/>
    </row>
    <row r="245" spans="1:31" ht="11.45" customHeight="1">
      <c r="A245" s="48"/>
      <c r="B245" s="68"/>
      <c r="C245" s="53" t="s">
        <v>1501</v>
      </c>
      <c r="E245" s="53"/>
      <c r="F245" s="53"/>
      <c r="G245" s="53"/>
      <c r="H245" s="53"/>
      <c r="I245" s="43"/>
      <c r="J245" s="34"/>
      <c r="K245" s="43"/>
      <c r="L245" s="34"/>
      <c r="M245" s="34"/>
      <c r="O245" s="484" t="s">
        <v>2817</v>
      </c>
      <c r="P245" s="2928"/>
      <c r="Q245" s="563"/>
    </row>
    <row r="246" spans="1:31" ht="12" customHeight="1">
      <c r="A246" s="48" t="s">
        <v>2130</v>
      </c>
      <c r="B246" s="53" t="s">
        <v>3687</v>
      </c>
      <c r="C246" s="53"/>
      <c r="E246" s="53"/>
      <c r="F246" s="53"/>
      <c r="G246" s="53"/>
      <c r="H246" s="53"/>
      <c r="I246" s="53"/>
      <c r="J246" s="53"/>
      <c r="K246" s="43"/>
      <c r="L246" s="53"/>
      <c r="M246" s="53"/>
      <c r="O246" s="484" t="s">
        <v>2130</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3936</v>
      </c>
      <c r="E248" s="43"/>
      <c r="F248" s="43"/>
      <c r="G248" s="956"/>
      <c r="H248" s="956"/>
      <c r="I248" s="43"/>
      <c r="J248" s="956"/>
      <c r="K248" s="43"/>
      <c r="L248" s="956"/>
      <c r="M248" s="956"/>
      <c r="O248" s="68" t="s">
        <v>1751</v>
      </c>
      <c r="P248" s="2928"/>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23.25" customHeight="1">
      <c r="A250" s="3113" t="s">
        <v>4664</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1879</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2799</v>
      </c>
      <c r="B254" s="4" t="s">
        <v>2678</v>
      </c>
      <c r="C254" s="4"/>
      <c r="D254" s="89"/>
      <c r="E254" s="89"/>
      <c r="F254" s="89"/>
      <c r="G254" s="89"/>
      <c r="H254" s="1592"/>
      <c r="I254" s="1592"/>
      <c r="J254" s="1592"/>
      <c r="K254" s="1592"/>
      <c r="L254" s="1939"/>
      <c r="M254" s="1940"/>
      <c r="O254" s="136" t="s">
        <v>1880</v>
      </c>
      <c r="P254" s="1897"/>
      <c r="Q254" s="1904"/>
    </row>
    <row r="255" spans="1:31" ht="4.9000000000000004" customHeight="1">
      <c r="L255" s="1939"/>
      <c r="M255" s="1940"/>
      <c r="N255" s="56"/>
    </row>
    <row r="256" spans="1:31" ht="11.45" customHeight="1">
      <c r="A256" s="48" t="s">
        <v>1998</v>
      </c>
      <c r="B256" s="53" t="s">
        <v>1280</v>
      </c>
      <c r="D256" s="43"/>
      <c r="E256" s="53"/>
      <c r="F256" s="53"/>
      <c r="J256" s="484" t="s">
        <v>1998</v>
      </c>
      <c r="K256" s="3128" t="s">
        <v>1784</v>
      </c>
      <c r="L256" s="3129"/>
      <c r="M256" s="3129"/>
      <c r="N256" s="3129"/>
      <c r="O256" s="3130"/>
      <c r="P256" s="1933" t="s">
        <v>1784</v>
      </c>
      <c r="Q256" s="1934"/>
    </row>
    <row r="257" spans="1:32" ht="11.45" customHeight="1">
      <c r="A257" s="48" t="s">
        <v>2000</v>
      </c>
      <c r="B257" s="53" t="s">
        <v>2829</v>
      </c>
      <c r="D257" s="53"/>
      <c r="E257" s="53"/>
      <c r="F257" s="53"/>
      <c r="J257" s="484" t="s">
        <v>2000</v>
      </c>
      <c r="K257" s="3175"/>
      <c r="L257" s="3176"/>
      <c r="M257" s="3176"/>
      <c r="N257" s="3176"/>
      <c r="O257" s="3177"/>
      <c r="P257" s="1935"/>
      <c r="Q257" s="1936"/>
    </row>
    <row r="258" spans="1:32" s="152" customFormat="1" ht="11.45" customHeight="1">
      <c r="A258" s="48"/>
      <c r="B258" s="53" t="s">
        <v>1959</v>
      </c>
      <c r="D258" s="53"/>
      <c r="E258" s="53"/>
      <c r="F258" s="53"/>
      <c r="K258" s="3161"/>
      <c r="L258" s="3162"/>
      <c r="M258" s="3162"/>
      <c r="N258" s="3162"/>
      <c r="O258" s="3163"/>
      <c r="P258" s="1937"/>
      <c r="Q258" s="1938"/>
      <c r="AE258" s="488"/>
      <c r="AF258" s="488"/>
    </row>
    <row r="259" spans="1:32" s="152" customFormat="1" ht="11.45" customHeight="1">
      <c r="A259" s="48"/>
      <c r="B259" s="53" t="s">
        <v>2559</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3786</v>
      </c>
      <c r="D260" s="53"/>
      <c r="E260" s="53"/>
      <c r="F260" s="53"/>
      <c r="M260" s="37"/>
      <c r="N260" s="1091"/>
      <c r="O260" s="484" t="s">
        <v>757</v>
      </c>
      <c r="P260" s="2929"/>
      <c r="Q260" s="561"/>
      <c r="AE260" s="488"/>
      <c r="AF260" s="488"/>
    </row>
    <row r="261" spans="1:32" s="152" customFormat="1" ht="11.45" customHeight="1">
      <c r="A261" s="48"/>
      <c r="B261" s="53" t="s">
        <v>3785</v>
      </c>
      <c r="D261" s="53"/>
      <c r="E261" s="53"/>
      <c r="F261" s="53"/>
      <c r="K261" s="3128"/>
      <c r="L261" s="3129"/>
      <c r="M261" s="3129"/>
      <c r="N261" s="3129"/>
      <c r="O261" s="3130"/>
      <c r="P261" s="1931"/>
      <c r="Q261" s="1932"/>
      <c r="AE261" s="488"/>
      <c r="AF261" s="488"/>
    </row>
    <row r="262" spans="1:32" s="152" customFormat="1" ht="11.45" customHeight="1">
      <c r="A262" s="48" t="s">
        <v>2130</v>
      </c>
      <c r="B262" s="53" t="s">
        <v>3937</v>
      </c>
      <c r="D262" s="53"/>
      <c r="E262" s="53"/>
      <c r="F262" s="53"/>
      <c r="G262" s="53"/>
      <c r="H262" s="53"/>
      <c r="I262" s="97"/>
      <c r="J262" s="97"/>
      <c r="K262" s="97"/>
      <c r="M262" s="37"/>
      <c r="N262" s="1091"/>
      <c r="O262" s="484" t="s">
        <v>2130</v>
      </c>
      <c r="P262" s="2929"/>
      <c r="Q262" s="561"/>
      <c r="AE262" s="488"/>
      <c r="AF262" s="488"/>
    </row>
    <row r="263" spans="1:32" s="152" customFormat="1" ht="11.45" customHeight="1">
      <c r="A263" s="48"/>
      <c r="B263" s="1892" t="s">
        <v>3787</v>
      </c>
      <c r="C263" s="1892"/>
      <c r="D263" s="1892"/>
      <c r="E263" s="1892"/>
      <c r="F263" s="1892"/>
      <c r="G263" s="1892"/>
      <c r="H263" s="446" t="s">
        <v>4163</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4164</v>
      </c>
      <c r="K264" s="97"/>
      <c r="M264" s="37"/>
      <c r="N264" s="1091"/>
      <c r="O264" s="68" t="s">
        <v>1751</v>
      </c>
      <c r="P264" s="2935"/>
      <c r="Q264" s="562"/>
      <c r="AE264" s="488"/>
      <c r="AF264" s="488"/>
    </row>
    <row r="265" spans="1:32" s="152" customFormat="1" ht="11.45" customHeight="1">
      <c r="A265" s="48"/>
      <c r="B265" s="53"/>
      <c r="D265" s="53"/>
      <c r="E265" s="53"/>
      <c r="F265" s="53"/>
      <c r="G265" s="53"/>
      <c r="H265" s="56" t="s">
        <v>4165</v>
      </c>
      <c r="K265" s="97"/>
      <c r="M265" s="37"/>
      <c r="N265" s="1091"/>
      <c r="O265" s="68" t="s">
        <v>1752</v>
      </c>
      <c r="P265" s="2935"/>
      <c r="Q265" s="562"/>
      <c r="AE265" s="488"/>
      <c r="AF265" s="488"/>
    </row>
    <row r="266" spans="1:32" s="152" customFormat="1" ht="11.45" customHeight="1">
      <c r="A266" s="48"/>
      <c r="B266" s="53"/>
      <c r="D266" s="53"/>
      <c r="E266" s="53"/>
      <c r="F266" s="53"/>
      <c r="G266" s="53"/>
      <c r="H266" s="56" t="s">
        <v>4166</v>
      </c>
      <c r="K266" s="97"/>
      <c r="M266" s="37"/>
      <c r="N266" s="1091"/>
      <c r="O266" s="484" t="s">
        <v>2380</v>
      </c>
      <c r="P266" s="2928"/>
      <c r="Q266" s="563"/>
      <c r="AE266" s="488"/>
      <c r="AF266" s="488"/>
    </row>
    <row r="267" spans="1:32" s="152" customFormat="1" ht="22.15" customHeight="1">
      <c r="A267" s="146" t="s">
        <v>1748</v>
      </c>
      <c r="B267" s="1892" t="s">
        <v>3938</v>
      </c>
      <c r="C267" s="1892"/>
      <c r="D267" s="1892"/>
      <c r="E267" s="1892"/>
      <c r="F267" s="1892"/>
      <c r="G267" s="1892"/>
      <c r="H267" s="1892"/>
      <c r="I267" s="1892"/>
      <c r="J267" s="1892"/>
      <c r="K267" s="1892"/>
      <c r="L267" s="1892"/>
      <c r="M267" s="1892"/>
      <c r="N267" s="1892"/>
      <c r="O267" s="166" t="s">
        <v>1748</v>
      </c>
      <c r="P267" s="3178"/>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13" t="s">
        <v>4665</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1879</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2266</v>
      </c>
      <c r="B273" s="4" t="s">
        <v>2679</v>
      </c>
      <c r="C273" s="4"/>
      <c r="D273" s="89"/>
      <c r="E273" s="89"/>
      <c r="F273" s="89"/>
      <c r="G273" s="89"/>
      <c r="H273" s="1592"/>
      <c r="I273" s="1592"/>
      <c r="J273" s="1592"/>
      <c r="K273" s="1592"/>
      <c r="L273" s="1592"/>
      <c r="M273" s="1592"/>
      <c r="O273" s="136" t="s">
        <v>1880</v>
      </c>
      <c r="P273" s="1897"/>
      <c r="Q273" s="1904"/>
    </row>
    <row r="274" spans="1:32" ht="3" customHeight="1"/>
    <row r="275" spans="1:32" s="429" customFormat="1" ht="21.75" customHeight="1">
      <c r="A275" s="146" t="s">
        <v>1998</v>
      </c>
      <c r="B275" s="1892" t="s">
        <v>3939</v>
      </c>
      <c r="C275" s="1892"/>
      <c r="D275" s="1892"/>
      <c r="E275" s="1892"/>
      <c r="F275" s="1892"/>
      <c r="G275" s="1892"/>
      <c r="H275" s="1892"/>
      <c r="I275" s="1892"/>
      <c r="J275" s="1892"/>
      <c r="K275" s="1892"/>
      <c r="L275" s="1892"/>
      <c r="M275" s="1892"/>
      <c r="N275" s="1892"/>
      <c r="O275" s="166" t="s">
        <v>1998</v>
      </c>
      <c r="P275" s="3071" t="s">
        <v>3009</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8" t="s">
        <v>3009</v>
      </c>
      <c r="Q276" s="563"/>
      <c r="AE276" s="488"/>
      <c r="AF276" s="488"/>
    </row>
    <row r="277" spans="1:32" s="152" customFormat="1" ht="11.45" customHeight="1">
      <c r="A277" s="48" t="s">
        <v>2000</v>
      </c>
      <c r="B277" s="53" t="s">
        <v>3783</v>
      </c>
      <c r="D277" s="53"/>
      <c r="E277" s="53"/>
      <c r="F277" s="53"/>
      <c r="G277" s="53"/>
      <c r="H277" s="53"/>
      <c r="I277" s="53"/>
      <c r="J277" s="53"/>
      <c r="K277" s="53"/>
      <c r="L277" s="53"/>
      <c r="M277" s="53"/>
      <c r="O277" s="484" t="s">
        <v>2000</v>
      </c>
      <c r="P277" s="2928" t="s">
        <v>3009</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929" t="s">
        <v>3009</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8" t="s">
        <v>3009</v>
      </c>
      <c r="Q279" s="563"/>
      <c r="AE279" s="488"/>
      <c r="AF279" s="488"/>
    </row>
    <row r="280" spans="1:32" s="152" customFormat="1" ht="11.45" customHeight="1">
      <c r="A280" s="48" t="s">
        <v>2130</v>
      </c>
      <c r="B280" s="53" t="s">
        <v>4168</v>
      </c>
      <c r="D280" s="53"/>
      <c r="E280" s="53"/>
      <c r="F280" s="53"/>
      <c r="G280" s="53"/>
      <c r="H280" s="53"/>
      <c r="I280" s="53"/>
      <c r="J280" s="53"/>
      <c r="K280" s="53"/>
      <c r="L280" s="53"/>
      <c r="M280" s="53"/>
      <c r="O280" s="484" t="s">
        <v>2130</v>
      </c>
      <c r="P280" s="2928" t="s">
        <v>3009</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13.15" customHeight="1">
      <c r="A282" s="3113" t="s">
        <v>4640</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1879</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4149</v>
      </c>
      <c r="B285" s="1586" t="s">
        <v>2680</v>
      </c>
      <c r="C285" s="1586"/>
      <c r="D285" s="1592"/>
      <c r="E285" s="1592"/>
      <c r="F285" s="1592"/>
      <c r="G285" s="1592"/>
      <c r="H285" s="1592"/>
      <c r="I285" s="1592"/>
      <c r="J285" s="1592"/>
      <c r="K285" s="1592"/>
      <c r="L285" s="1592"/>
      <c r="M285" s="1592"/>
      <c r="O285" s="136" t="s">
        <v>1880</v>
      </c>
      <c r="P285" s="1897"/>
      <c r="Q285" s="1904"/>
    </row>
    <row r="286" spans="1:32" ht="3" customHeight="1"/>
    <row r="287" spans="1:32" s="429" customFormat="1" ht="21.75" customHeight="1">
      <c r="A287" s="146" t="s">
        <v>1998</v>
      </c>
      <c r="B287" s="1892" t="s">
        <v>2830</v>
      </c>
      <c r="C287" s="1892"/>
      <c r="D287" s="1892"/>
      <c r="E287" s="1892"/>
      <c r="F287" s="1892"/>
      <c r="G287" s="1892"/>
      <c r="H287" s="1892"/>
      <c r="I287" s="1892"/>
      <c r="J287" s="1892"/>
      <c r="K287" s="1892"/>
      <c r="L287" s="1892"/>
      <c r="M287" s="1892"/>
      <c r="N287" s="1892"/>
      <c r="O287" s="166" t="s">
        <v>1998</v>
      </c>
      <c r="P287" s="3071" t="s">
        <v>4635</v>
      </c>
      <c r="Q287" s="1261"/>
      <c r="AE287" s="489"/>
      <c r="AF287" s="489"/>
    </row>
    <row r="288" spans="1:32" s="429" customFormat="1" ht="21.75" customHeight="1">
      <c r="A288" s="146" t="s">
        <v>2000</v>
      </c>
      <c r="B288" s="1892" t="s">
        <v>2831</v>
      </c>
      <c r="C288" s="1892"/>
      <c r="D288" s="1892"/>
      <c r="E288" s="1892"/>
      <c r="F288" s="1892"/>
      <c r="G288" s="1892"/>
      <c r="H288" s="1892"/>
      <c r="I288" s="1892"/>
      <c r="J288" s="1892"/>
      <c r="K288" s="1892"/>
      <c r="L288" s="1892"/>
      <c r="M288" s="1892"/>
      <c r="N288" s="1892"/>
      <c r="O288" s="166" t="s">
        <v>2000</v>
      </c>
      <c r="P288" s="3094" t="s">
        <v>4635</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15" customHeight="1">
      <c r="A290" s="3113" t="s">
        <v>4641</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1879</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4150</v>
      </c>
      <c r="B293" s="1586" t="s">
        <v>2681</v>
      </c>
      <c r="C293" s="153"/>
      <c r="D293" s="1598"/>
      <c r="E293" s="1592"/>
      <c r="F293" s="1592"/>
      <c r="G293" s="1592"/>
      <c r="H293" s="1592"/>
      <c r="I293" s="1592"/>
      <c r="J293" s="1592"/>
      <c r="K293" s="1592"/>
      <c r="L293" s="1592"/>
      <c r="M293" s="1592"/>
      <c r="O293" s="136" t="s">
        <v>1880</v>
      </c>
      <c r="P293" s="1897"/>
      <c r="Q293" s="1904"/>
    </row>
    <row r="294" spans="1:33" ht="12.75" customHeight="1">
      <c r="A294" s="15" t="s">
        <v>1998</v>
      </c>
      <c r="B294" s="1586" t="s">
        <v>4169</v>
      </c>
    </row>
    <row r="295" spans="1:33" s="152" customFormat="1" ht="44.25" customHeight="1">
      <c r="A295" s="146"/>
      <c r="B295" s="154" t="s">
        <v>1750</v>
      </c>
      <c r="C295" s="1892" t="s">
        <v>3941</v>
      </c>
      <c r="D295" s="1892"/>
      <c r="E295" s="1892"/>
      <c r="F295" s="1892"/>
      <c r="G295" s="1892"/>
      <c r="H295" s="1892"/>
      <c r="I295" s="1892"/>
      <c r="J295" s="1892"/>
      <c r="K295" s="1892"/>
      <c r="L295" s="1892"/>
      <c r="M295" s="1892"/>
      <c r="N295" s="1892"/>
      <c r="O295" s="166" t="s">
        <v>2743</v>
      </c>
      <c r="P295" s="3071" t="s">
        <v>3009</v>
      </c>
      <c r="Q295" s="1261"/>
      <c r="AE295" s="488"/>
      <c r="AF295" s="488"/>
    </row>
    <row r="296" spans="1:33" s="429" customFormat="1" ht="12" customHeight="1">
      <c r="A296" s="146"/>
      <c r="B296" s="154" t="s">
        <v>1751</v>
      </c>
      <c r="C296" s="1892" t="s">
        <v>3942</v>
      </c>
      <c r="D296" s="1892"/>
      <c r="E296" s="1892"/>
      <c r="F296" s="1892"/>
      <c r="G296" s="1892"/>
      <c r="H296" s="1892"/>
      <c r="I296" s="1892"/>
      <c r="J296" s="1892"/>
      <c r="K296" s="1892"/>
      <c r="L296" s="1892"/>
      <c r="M296" s="1892"/>
      <c r="N296" s="1892"/>
      <c r="O296" s="154" t="s">
        <v>1751</v>
      </c>
      <c r="P296" s="3147" t="s">
        <v>3009</v>
      </c>
      <c r="Q296" s="564"/>
      <c r="AE296" s="489"/>
      <c r="AF296" s="489"/>
    </row>
    <row r="297" spans="1:33" s="429" customFormat="1" ht="21.75" customHeight="1">
      <c r="A297" s="146"/>
      <c r="B297" s="166" t="s">
        <v>1752</v>
      </c>
      <c r="C297" s="1892" t="s">
        <v>3940</v>
      </c>
      <c r="D297" s="1892"/>
      <c r="E297" s="1892"/>
      <c r="F297" s="1892"/>
      <c r="G297" s="1892"/>
      <c r="H297" s="1892"/>
      <c r="I297" s="1892"/>
      <c r="J297" s="1892"/>
      <c r="K297" s="1892"/>
      <c r="L297" s="1892"/>
      <c r="M297" s="1892"/>
      <c r="N297" s="1892"/>
      <c r="O297" s="166" t="s">
        <v>1752</v>
      </c>
      <c r="P297" s="3094"/>
      <c r="Q297" s="1282"/>
      <c r="AE297" s="489"/>
      <c r="AF297" s="489"/>
    </row>
    <row r="298" spans="1:33" s="97" customFormat="1" ht="12.75" customHeight="1">
      <c r="A298" s="15" t="s">
        <v>2000</v>
      </c>
      <c r="B298" s="1586"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3822</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3821</v>
      </c>
      <c r="P300" s="315"/>
    </row>
    <row r="301" spans="1:33" s="305" customFormat="1" ht="13.15" customHeight="1">
      <c r="A301" s="317"/>
      <c r="C301" s="1892"/>
      <c r="D301" s="1892"/>
      <c r="E301" s="1892"/>
      <c r="F301" s="1892"/>
      <c r="G301" s="1892"/>
      <c r="H301" s="1892"/>
      <c r="I301" s="53" t="s">
        <v>4170</v>
      </c>
      <c r="K301" s="3179">
        <v>3</v>
      </c>
      <c r="L301" s="1086" t="str">
        <f>IF(K301&lt;M301,"Check!!!","")</f>
        <v/>
      </c>
      <c r="M301" s="1087">
        <f>ROUNDUP('Part VI-Revenues &amp; Expenses'!$O$62*'Part VIII-Threshold Criteria'!N301,0)</f>
        <v>3</v>
      </c>
      <c r="N301" s="1092">
        <f>'DCA Underwriting Assumptions'!$Q$136</f>
        <v>0.05</v>
      </c>
      <c r="O301" s="484" t="s">
        <v>3663</v>
      </c>
      <c r="P301" s="2999" t="s">
        <v>3009</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4171</v>
      </c>
      <c r="J303" s="305"/>
      <c r="K303" s="3179">
        <v>2</v>
      </c>
      <c r="L303" s="1086" t="str">
        <f>IF(K303&lt;M303,"Check!!!","")</f>
        <v/>
      </c>
      <c r="M303" s="1087">
        <f>ROUNDUP(K301*'Part VIII-Threshold Criteria'!N303,0)</f>
        <v>2</v>
      </c>
      <c r="N303" s="1092">
        <f>'DCA Underwriting Assumptions'!$Q$137</f>
        <v>0.4</v>
      </c>
      <c r="O303" s="484" t="s">
        <v>2132</v>
      </c>
      <c r="P303" s="2999" t="s">
        <v>3009</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4172</v>
      </c>
      <c r="J305" s="305"/>
      <c r="K305" s="3179">
        <v>1</v>
      </c>
      <c r="L305" s="1086" t="str">
        <f>IF(K305&lt;M305,"Check!!!","")</f>
        <v/>
      </c>
      <c r="M305" s="1087">
        <f>ROUNDUP('Part VI-Revenues &amp; Expenses'!$O$62*'Part VIII-Threshold Criteria'!N305,0)</f>
        <v>1</v>
      </c>
      <c r="N305" s="1092">
        <f>'DCA Underwriting Assumptions'!$Q$138</f>
        <v>0.02</v>
      </c>
      <c r="O305" s="484" t="s">
        <v>1751</v>
      </c>
      <c r="P305" s="2999" t="s">
        <v>3009</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3067" t="s">
        <v>3009</v>
      </c>
      <c r="Q309" s="1262"/>
      <c r="AE309" s="490"/>
      <c r="AF309" s="490"/>
    </row>
    <row r="310" spans="1:33" s="97" customFormat="1" ht="11.25" customHeight="1">
      <c r="B310" s="405" t="s">
        <v>3666</v>
      </c>
      <c r="D310" s="405"/>
      <c r="E310" s="405"/>
      <c r="F310" s="405"/>
      <c r="G310" s="405"/>
      <c r="H310" s="405"/>
      <c r="I310" s="405" t="s">
        <v>3788</v>
      </c>
      <c r="J310" s="405"/>
      <c r="K310" s="405"/>
      <c r="L310" s="3180" t="s">
        <v>4642</v>
      </c>
      <c r="M310" s="3181"/>
      <c r="N310" s="3182"/>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3071" t="s">
        <v>3009</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3147" t="s">
        <v>3009</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3147" t="s">
        <v>3009</v>
      </c>
      <c r="Q313" s="564"/>
      <c r="AE313" s="489"/>
      <c r="AF313" s="489"/>
    </row>
    <row r="314" spans="1:33" s="429" customFormat="1" ht="32.25" customHeight="1">
      <c r="B314" s="166" t="s">
        <v>2380</v>
      </c>
      <c r="C314" s="1892" t="s">
        <v>3668</v>
      </c>
      <c r="D314" s="1892"/>
      <c r="E314" s="1892"/>
      <c r="F314" s="1892"/>
      <c r="G314" s="1892"/>
      <c r="H314" s="1892"/>
      <c r="I314" s="1892"/>
      <c r="J314" s="1892"/>
      <c r="K314" s="1892"/>
      <c r="L314" s="1892"/>
      <c r="M314" s="1892"/>
      <c r="N314" s="1892"/>
      <c r="O314" s="166" t="s">
        <v>3672</v>
      </c>
      <c r="P314" s="3094" t="s">
        <v>3009</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13" t="s">
        <v>4643</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1879</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4148</v>
      </c>
      <c r="B319" s="10" t="s">
        <v>2682</v>
      </c>
      <c r="C319" s="10"/>
      <c r="D319" s="10"/>
      <c r="E319" s="10"/>
      <c r="F319" s="10"/>
      <c r="G319" s="10"/>
      <c r="H319" s="1592"/>
      <c r="I319" s="1592"/>
      <c r="J319" s="1592"/>
      <c r="K319" s="1592"/>
      <c r="L319" s="1592"/>
      <c r="M319" s="1592"/>
      <c r="O319" s="136" t="s">
        <v>1880</v>
      </c>
      <c r="P319" s="1929"/>
      <c r="Q319" s="1930"/>
    </row>
    <row r="320" spans="1:33" ht="11.45" customHeight="1">
      <c r="B320" s="149" t="s">
        <v>2267</v>
      </c>
      <c r="P320" s="2929" t="s">
        <v>3012</v>
      </c>
      <c r="Q320" s="561"/>
    </row>
    <row r="321" spans="1:256 1523:1523" ht="12" customHeight="1">
      <c r="B321" s="932" t="s">
        <v>2226</v>
      </c>
      <c r="C321" s="932"/>
      <c r="D321" s="932"/>
      <c r="E321" s="932"/>
      <c r="F321" s="932"/>
      <c r="G321" s="932"/>
      <c r="H321" s="932"/>
      <c r="I321" s="932"/>
      <c r="J321" s="932"/>
      <c r="K321" s="932"/>
      <c r="L321" s="932"/>
      <c r="P321" s="2928" t="s">
        <v>3009</v>
      </c>
      <c r="Q321" s="563"/>
    </row>
    <row r="322" spans="1:256 1523:1523" ht="11.45" customHeight="1">
      <c r="A322" s="146" t="s">
        <v>1998</v>
      </c>
      <c r="B322" s="187" t="s">
        <v>463</v>
      </c>
      <c r="D322" s="956"/>
      <c r="E322" s="956"/>
      <c r="F322" s="956"/>
      <c r="G322" s="956"/>
      <c r="H322" s="956"/>
      <c r="I322" s="956"/>
      <c r="J322" s="956"/>
      <c r="K322" s="956"/>
      <c r="L322" s="956"/>
      <c r="M322" s="956"/>
      <c r="N322" s="166"/>
    </row>
    <row r="323" spans="1:256 1523:1523" ht="22.5" customHeight="1">
      <c r="B323" s="1892" t="s">
        <v>2898</v>
      </c>
      <c r="C323" s="1892"/>
      <c r="D323" s="1892"/>
      <c r="E323" s="1892"/>
      <c r="F323" s="1892"/>
      <c r="G323" s="1892"/>
      <c r="H323" s="1892"/>
      <c r="I323" s="1892"/>
      <c r="J323" s="1892"/>
      <c r="K323" s="1892"/>
      <c r="L323" s="1892"/>
      <c r="M323" s="1892"/>
      <c r="N323" s="1892"/>
      <c r="O323" s="166" t="s">
        <v>1998</v>
      </c>
      <c r="P323" s="3183"/>
      <c r="Q323" s="567"/>
    </row>
    <row r="324" spans="1:256 1523:1523" ht="12.6" customHeight="1">
      <c r="A324" s="146" t="s">
        <v>2000</v>
      </c>
      <c r="B324" s="222" t="s">
        <v>464</v>
      </c>
      <c r="D324" s="222"/>
      <c r="E324" s="222"/>
      <c r="F324" s="222"/>
      <c r="G324" s="222"/>
      <c r="H324" s="222"/>
      <c r="I324" s="222"/>
      <c r="J324" s="222"/>
      <c r="K324" s="222"/>
      <c r="L324" s="222"/>
      <c r="M324" s="222"/>
      <c r="O324" s="166" t="s">
        <v>2000</v>
      </c>
      <c r="P324" s="1585"/>
      <c r="Q324" s="955"/>
    </row>
    <row r="325" spans="1:256 1523:1523" ht="34.5" customHeight="1">
      <c r="B325" s="220" t="s">
        <v>1750</v>
      </c>
      <c r="C325" s="221" t="s">
        <v>1141</v>
      </c>
      <c r="E325" s="137"/>
      <c r="F325" s="137"/>
      <c r="G325" s="3184" t="s">
        <v>3944</v>
      </c>
      <c r="H325" s="3185"/>
      <c r="I325" s="3185"/>
      <c r="J325" s="3185"/>
      <c r="K325" s="3185"/>
      <c r="L325" s="3185"/>
      <c r="M325" s="3185"/>
      <c r="N325" s="3186"/>
      <c r="O325" s="224" t="s">
        <v>1750</v>
      </c>
      <c r="P325" s="3071" t="s">
        <v>3009</v>
      </c>
      <c r="Q325" s="1261"/>
      <c r="BFO325" s="152" t="s">
        <v>2744</v>
      </c>
    </row>
    <row r="326" spans="1:256 1523:1523" ht="23.25" customHeight="1">
      <c r="B326" s="220" t="s">
        <v>1751</v>
      </c>
      <c r="C326" s="1892" t="s">
        <v>1142</v>
      </c>
      <c r="D326" s="1892"/>
      <c r="E326" s="1892"/>
      <c r="F326" s="1899"/>
      <c r="G326" s="3172" t="s">
        <v>3791</v>
      </c>
      <c r="H326" s="3187"/>
      <c r="I326" s="3187"/>
      <c r="J326" s="3187"/>
      <c r="K326" s="3187"/>
      <c r="L326" s="3187"/>
      <c r="M326" s="3187"/>
      <c r="N326" s="3188"/>
      <c r="O326" s="224" t="s">
        <v>1751</v>
      </c>
      <c r="P326" s="3094" t="s">
        <v>3009</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2688</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113" t="s">
        <v>4644</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1879</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4151</v>
      </c>
      <c r="B336" s="1586" t="s">
        <v>4190</v>
      </c>
      <c r="C336" s="1586"/>
      <c r="D336" s="1592"/>
      <c r="E336" s="1592"/>
      <c r="F336" s="1592"/>
      <c r="G336" s="1592"/>
      <c r="H336" s="1592"/>
      <c r="O336" s="136" t="s">
        <v>1880</v>
      </c>
      <c r="P336" s="1897"/>
      <c r="Q336" s="1904"/>
    </row>
    <row r="337" spans="1:31" ht="11.45" customHeight="1">
      <c r="A337" s="48" t="s">
        <v>1998</v>
      </c>
      <c r="B337" s="56" t="s">
        <v>3946</v>
      </c>
      <c r="O337" s="166" t="s">
        <v>1998</v>
      </c>
      <c r="P337" s="2999" t="s">
        <v>3009</v>
      </c>
      <c r="Q337" s="560"/>
    </row>
    <row r="338" spans="1:31" ht="11.45" customHeight="1">
      <c r="A338" s="146" t="s">
        <v>2000</v>
      </c>
      <c r="B338" s="56" t="s">
        <v>4135</v>
      </c>
      <c r="O338" s="166" t="s">
        <v>2000</v>
      </c>
      <c r="P338" s="2929" t="s">
        <v>3009</v>
      </c>
      <c r="Q338" s="561"/>
    </row>
    <row r="339" spans="1:31" ht="11.45" customHeight="1">
      <c r="A339" s="146" t="s">
        <v>757</v>
      </c>
      <c r="B339" s="149" t="s">
        <v>2365</v>
      </c>
      <c r="O339" s="166" t="s">
        <v>757</v>
      </c>
      <c r="P339" s="2935" t="s">
        <v>3012</v>
      </c>
      <c r="Q339" s="562"/>
    </row>
    <row r="340" spans="1:31" ht="11.45" customHeight="1">
      <c r="A340" s="48" t="s">
        <v>2130</v>
      </c>
      <c r="B340" s="56" t="s">
        <v>3871</v>
      </c>
      <c r="O340" s="484" t="s">
        <v>2130</v>
      </c>
      <c r="P340" s="2928" t="s">
        <v>3012</v>
      </c>
      <c r="Q340" s="563"/>
    </row>
    <row r="341" spans="1:31" ht="11.45" customHeight="1">
      <c r="A341" s="146" t="s">
        <v>1748</v>
      </c>
      <c r="B341" s="56" t="s">
        <v>2901</v>
      </c>
      <c r="N341" s="166" t="s">
        <v>1748</v>
      </c>
      <c r="O341" s="3189" t="s">
        <v>3869</v>
      </c>
      <c r="P341" s="3190"/>
      <c r="Q341" s="3191"/>
    </row>
    <row r="342" spans="1:31" ht="11.45" customHeight="1">
      <c r="A342" s="146" t="s">
        <v>1749</v>
      </c>
      <c r="B342" s="425" t="s">
        <v>2366</v>
      </c>
      <c r="N342" s="166" t="s">
        <v>1749</v>
      </c>
      <c r="O342" s="1923" t="s">
        <v>2902</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3113" t="s">
        <v>4645</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1879</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4152</v>
      </c>
      <c r="B347" s="4" t="s">
        <v>2683</v>
      </c>
      <c r="C347" s="4"/>
      <c r="D347" s="89"/>
      <c r="E347" s="1592"/>
      <c r="F347" s="1592"/>
      <c r="G347" s="1592"/>
      <c r="H347" s="1592"/>
      <c r="I347" s="1592"/>
      <c r="J347" s="1592"/>
      <c r="K347" s="1592"/>
      <c r="L347" s="1592"/>
      <c r="M347" s="1592"/>
      <c r="O347" s="136" t="s">
        <v>1880</v>
      </c>
      <c r="P347" s="1897"/>
      <c r="Q347" s="1904"/>
    </row>
    <row r="348" spans="1:31" ht="12.75" customHeight="1">
      <c r="A348" s="146" t="s">
        <v>1998</v>
      </c>
      <c r="B348" s="144" t="s">
        <v>3681</v>
      </c>
      <c r="D348" s="144"/>
      <c r="E348" s="144"/>
      <c r="F348" s="144"/>
      <c r="G348" s="144"/>
      <c r="H348" s="144"/>
      <c r="I348" s="144"/>
      <c r="J348" s="144"/>
      <c r="K348" s="144"/>
      <c r="L348" s="144"/>
      <c r="M348" s="144"/>
      <c r="N348" s="144"/>
      <c r="O348" s="166" t="s">
        <v>1998</v>
      </c>
      <c r="P348" s="2929" t="s">
        <v>3009</v>
      </c>
      <c r="Q348" s="561"/>
    </row>
    <row r="349" spans="1:31" ht="12.75" customHeight="1">
      <c r="A349" s="146" t="s">
        <v>2000</v>
      </c>
      <c r="B349" s="144" t="s">
        <v>3880</v>
      </c>
      <c r="D349" s="144"/>
      <c r="E349" s="144"/>
      <c r="F349" s="144"/>
      <c r="G349" s="144"/>
      <c r="H349" s="144"/>
      <c r="I349" s="144"/>
      <c r="J349" s="144"/>
      <c r="K349" s="144"/>
      <c r="L349" s="144"/>
      <c r="M349" s="144"/>
      <c r="N349" s="144"/>
      <c r="O349" s="166" t="s">
        <v>2000</v>
      </c>
      <c r="P349" s="2935" t="s">
        <v>3012</v>
      </c>
      <c r="Q349" s="562"/>
    </row>
    <row r="350" spans="1:31" ht="22.5" customHeight="1">
      <c r="A350" s="146" t="s">
        <v>757</v>
      </c>
      <c r="B350" s="1892" t="s">
        <v>4136</v>
      </c>
      <c r="C350" s="1892"/>
      <c r="D350" s="1892"/>
      <c r="E350" s="1892"/>
      <c r="F350" s="1892"/>
      <c r="G350" s="1892"/>
      <c r="H350" s="1892"/>
      <c r="I350" s="1892"/>
      <c r="J350" s="1892"/>
      <c r="K350" s="1892"/>
      <c r="L350" s="1892"/>
      <c r="M350" s="1892"/>
      <c r="N350" s="1892"/>
      <c r="O350" s="166" t="s">
        <v>757</v>
      </c>
      <c r="P350" s="2928" t="s">
        <v>3009</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113" t="s">
        <v>4646</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1879</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4155</v>
      </c>
      <c r="B356" s="4" t="s">
        <v>4122</v>
      </c>
      <c r="C356" s="4"/>
      <c r="D356" s="4"/>
      <c r="E356" s="4"/>
      <c r="F356" s="4"/>
      <c r="G356" s="4"/>
      <c r="H356" s="1592"/>
      <c r="I356" s="1592"/>
      <c r="J356" s="1592"/>
      <c r="K356" s="1592"/>
      <c r="L356" s="1592"/>
      <c r="M356" s="1592"/>
      <c r="O356" s="136" t="s">
        <v>1880</v>
      </c>
      <c r="P356" s="1918"/>
      <c r="Q356" s="1904"/>
    </row>
    <row r="357" spans="1:32" ht="10.5" customHeight="1">
      <c r="A357" s="48" t="s">
        <v>1998</v>
      </c>
      <c r="B357" s="139" t="s">
        <v>4123</v>
      </c>
      <c r="D357" s="155"/>
      <c r="E357" s="155"/>
      <c r="F357" s="155"/>
      <c r="G357" s="155"/>
      <c r="H357" s="484" t="s">
        <v>1998</v>
      </c>
      <c r="I357" s="3128"/>
      <c r="J357" s="3129"/>
      <c r="K357" s="3129"/>
      <c r="L357" s="3129"/>
      <c r="M357" s="3129"/>
      <c r="N357" s="3129"/>
      <c r="O357" s="3129"/>
      <c r="P357" s="3130"/>
      <c r="Q357" s="559"/>
    </row>
    <row r="358" spans="1:32" ht="10.5" customHeight="1">
      <c r="A358" s="146" t="s">
        <v>2000</v>
      </c>
      <c r="B358" s="139" t="s">
        <v>4124</v>
      </c>
      <c r="D358" s="155"/>
      <c r="E358" s="155"/>
      <c r="F358" s="155"/>
      <c r="G358" s="155"/>
      <c r="H358" s="166" t="s">
        <v>2000</v>
      </c>
      <c r="I358" s="3128"/>
      <c r="J358" s="3129"/>
      <c r="K358" s="3129"/>
      <c r="L358" s="3129"/>
      <c r="M358" s="3129"/>
      <c r="N358" s="3129"/>
      <c r="O358" s="3129"/>
      <c r="P358" s="3130"/>
      <c r="Q358" s="559"/>
    </row>
    <row r="359" spans="1:32" ht="21.75" customHeight="1">
      <c r="A359" s="146" t="s">
        <v>757</v>
      </c>
      <c r="B359" s="1920" t="s">
        <v>4114</v>
      </c>
      <c r="C359" s="1920"/>
      <c r="D359" s="1920"/>
      <c r="E359" s="1920"/>
      <c r="F359" s="1920"/>
      <c r="G359" s="1920"/>
      <c r="H359" s="1920"/>
      <c r="I359" s="1920"/>
      <c r="J359" s="1920"/>
      <c r="K359" s="1920"/>
      <c r="L359" s="1920"/>
      <c r="M359" s="1920"/>
      <c r="N359" s="1920"/>
      <c r="O359" s="166" t="s">
        <v>757</v>
      </c>
      <c r="P359" s="3102"/>
      <c r="Q359" s="1261"/>
    </row>
    <row r="360" spans="1:32" ht="21.75" customHeight="1">
      <c r="A360" s="146" t="s">
        <v>2130</v>
      </c>
      <c r="B360" s="1892" t="s">
        <v>4115</v>
      </c>
      <c r="C360" s="1892"/>
      <c r="D360" s="1892"/>
      <c r="E360" s="1892"/>
      <c r="F360" s="1892"/>
      <c r="G360" s="1892"/>
      <c r="H360" s="1892"/>
      <c r="I360" s="1892"/>
      <c r="J360" s="1892"/>
      <c r="K360" s="1892"/>
      <c r="L360" s="1892"/>
      <c r="M360" s="1892"/>
      <c r="N360" s="1892"/>
      <c r="O360" s="484" t="s">
        <v>2130</v>
      </c>
      <c r="P360" s="3147"/>
      <c r="Q360" s="564"/>
    </row>
    <row r="361" spans="1:32" ht="10.5" customHeight="1">
      <c r="A361" s="146" t="s">
        <v>1748</v>
      </c>
      <c r="B361" s="53" t="s">
        <v>4116</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4117</v>
      </c>
      <c r="C362" s="1892"/>
      <c r="D362" s="1892"/>
      <c r="E362" s="1892"/>
      <c r="F362" s="1892"/>
      <c r="G362" s="1892"/>
      <c r="H362" s="1892"/>
      <c r="I362" s="1892"/>
      <c r="J362" s="1892"/>
      <c r="K362" s="1892"/>
      <c r="L362" s="1892"/>
      <c r="M362" s="1892"/>
      <c r="N362" s="1892"/>
      <c r="O362" s="166" t="s">
        <v>1749</v>
      </c>
      <c r="P362" s="3192"/>
      <c r="Q362" s="933"/>
      <c r="AE362" s="487"/>
      <c r="AF362" s="487"/>
    </row>
    <row r="363" spans="1:32" s="137" customFormat="1" ht="10.5" customHeight="1">
      <c r="A363" s="146" t="s">
        <v>1961</v>
      </c>
      <c r="B363" s="144" t="s">
        <v>4118</v>
      </c>
      <c r="D363" s="957"/>
      <c r="E363" s="957"/>
      <c r="F363" s="957"/>
      <c r="G363" s="957"/>
      <c r="H363" s="957"/>
      <c r="I363" s="957"/>
      <c r="J363" s="957"/>
      <c r="K363" s="957"/>
      <c r="L363" s="957"/>
      <c r="M363" s="957"/>
      <c r="N363" s="957"/>
      <c r="O363" s="166" t="s">
        <v>1961</v>
      </c>
      <c r="P363" s="3071"/>
      <c r="Q363" s="1261"/>
      <c r="AE363" s="487"/>
      <c r="AF363" s="487"/>
    </row>
    <row r="364" spans="1:32" s="137" customFormat="1" ht="10.5" customHeight="1">
      <c r="C364" s="932" t="s">
        <v>3860</v>
      </c>
      <c r="E364" s="1592"/>
      <c r="F364" s="1592"/>
      <c r="G364" s="1592"/>
      <c r="H364" s="1592"/>
      <c r="I364" s="1592"/>
      <c r="J364" s="1592"/>
      <c r="K364" s="1592"/>
      <c r="L364" s="1592"/>
      <c r="M364" s="1592"/>
      <c r="N364" s="1592"/>
      <c r="P364" s="3094"/>
      <c r="Q364" s="1282"/>
      <c r="AE364" s="487"/>
      <c r="AF364" s="487"/>
    </row>
    <row r="365" spans="1:32" ht="21.75" customHeight="1">
      <c r="A365" s="146" t="s">
        <v>3390</v>
      </c>
      <c r="B365" s="1892" t="s">
        <v>4119</v>
      </c>
      <c r="C365" s="1892"/>
      <c r="D365" s="1892"/>
      <c r="E365" s="1892"/>
      <c r="F365" s="1892"/>
      <c r="G365" s="1892"/>
      <c r="H365" s="1892"/>
      <c r="I365" s="1892"/>
      <c r="J365" s="1892"/>
      <c r="K365" s="1892"/>
      <c r="L365" s="1892"/>
      <c r="M365" s="1892"/>
      <c r="N365" s="1892"/>
      <c r="O365" s="166" t="s">
        <v>3390</v>
      </c>
      <c r="P365" s="3071"/>
      <c r="Q365" s="1261"/>
    </row>
    <row r="366" spans="1:32" ht="33" customHeight="1">
      <c r="A366" s="146" t="s">
        <v>622</v>
      </c>
      <c r="B366" s="1892" t="s">
        <v>4120</v>
      </c>
      <c r="C366" s="1892"/>
      <c r="D366" s="1892"/>
      <c r="E366" s="1892"/>
      <c r="F366" s="1892"/>
      <c r="G366" s="1892"/>
      <c r="H366" s="1892"/>
      <c r="I366" s="1892"/>
      <c r="J366" s="1892"/>
      <c r="K366" s="1892"/>
      <c r="L366" s="1892"/>
      <c r="M366" s="1892"/>
      <c r="N366" s="1892"/>
      <c r="O366" s="166" t="s">
        <v>622</v>
      </c>
      <c r="P366" s="3094"/>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13" t="s">
        <v>4648</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1879</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4156</v>
      </c>
      <c r="B372" s="4" t="s">
        <v>3947</v>
      </c>
      <c r="C372" s="4"/>
      <c r="D372" s="4"/>
      <c r="E372" s="4"/>
      <c r="F372" s="4"/>
      <c r="G372" s="4"/>
      <c r="H372" s="1592"/>
      <c r="I372" s="1592"/>
      <c r="J372" s="1592"/>
      <c r="O372" s="136" t="s">
        <v>1880</v>
      </c>
      <c r="P372" s="1897"/>
      <c r="Q372" s="1904"/>
    </row>
    <row r="373" spans="1:32" s="43" customFormat="1" ht="10.5" customHeight="1">
      <c r="A373" s="48" t="s">
        <v>1998</v>
      </c>
      <c r="B373" s="656" t="s">
        <v>3949</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4173</v>
      </c>
      <c r="D374" s="1921"/>
      <c r="E374" s="1921"/>
      <c r="F374" s="1922"/>
      <c r="G374" s="3128"/>
      <c r="H374" s="3129"/>
      <c r="I374" s="3130"/>
      <c r="J374" s="1589" t="s">
        <v>3956</v>
      </c>
      <c r="K374" s="3128"/>
      <c r="L374" s="3129"/>
      <c r="M374" s="3130"/>
      <c r="N374" s="1907" t="s">
        <v>3948</v>
      </c>
      <c r="O374" s="1908"/>
      <c r="P374" s="3193"/>
      <c r="Q374" s="3194"/>
      <c r="AE374" s="51"/>
      <c r="AF374" s="51"/>
    </row>
    <row r="375" spans="1:32" s="43" customFormat="1" ht="10.5" customHeight="1">
      <c r="B375" s="37" t="s">
        <v>1751</v>
      </c>
      <c r="C375" s="53" t="s">
        <v>3950</v>
      </c>
      <c r="I375" s="484" t="s">
        <v>1751</v>
      </c>
      <c r="J375" s="3195"/>
      <c r="K375" s="3196"/>
      <c r="AE375" s="51"/>
      <c r="AF375" s="51"/>
    </row>
    <row r="376" spans="1:32" s="43" customFormat="1" ht="10.5" customHeight="1">
      <c r="A376" s="48"/>
      <c r="B376" s="37" t="s">
        <v>1752</v>
      </c>
      <c r="C376" s="53" t="s">
        <v>3951</v>
      </c>
      <c r="D376" s="47"/>
      <c r="E376" s="138"/>
      <c r="F376" s="1911" t="str">
        <f>'Part I-Project Information'!K40</f>
        <v>Rural</v>
      </c>
      <c r="G376" s="1912"/>
      <c r="H376" s="1594" t="s">
        <v>3952</v>
      </c>
      <c r="I376" s="138"/>
      <c r="J376" s="138"/>
      <c r="K376" s="138"/>
      <c r="L376" s="138"/>
      <c r="M376" s="138"/>
      <c r="N376" s="138"/>
      <c r="O376" s="484" t="s">
        <v>1752</v>
      </c>
      <c r="P376" s="2929"/>
      <c r="Q376" s="561"/>
      <c r="AE376" s="51"/>
      <c r="AF376" s="51"/>
    </row>
    <row r="377" spans="1:32" s="43" customFormat="1" ht="10.5" customHeight="1">
      <c r="A377" s="48"/>
      <c r="B377" s="37" t="s">
        <v>2380</v>
      </c>
      <c r="C377" s="53" t="s">
        <v>3953</v>
      </c>
      <c r="E377" s="138"/>
      <c r="F377" s="138"/>
      <c r="G377" s="138"/>
      <c r="H377" s="138"/>
      <c r="I377" s="138"/>
      <c r="J377" s="3197"/>
      <c r="K377" s="3198"/>
      <c r="L377" s="1913"/>
      <c r="M377" s="1914"/>
      <c r="N377" s="53" t="s">
        <v>3963</v>
      </c>
      <c r="O377" s="484"/>
      <c r="P377" s="2935"/>
      <c r="Q377" s="562"/>
      <c r="AE377" s="51"/>
      <c r="AF377" s="51"/>
    </row>
    <row r="378" spans="1:32" s="43" customFormat="1" ht="10.5" customHeight="1">
      <c r="A378" s="48"/>
      <c r="B378" s="37" t="s">
        <v>1561</v>
      </c>
      <c r="C378" s="53" t="s">
        <v>3954</v>
      </c>
      <c r="E378" s="53"/>
      <c r="F378" s="1909">
        <f>'Part IV-A-Uses of Funds'!J173</f>
        <v>850000</v>
      </c>
      <c r="G378" s="1910"/>
      <c r="H378" s="53" t="s">
        <v>3955</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3957</v>
      </c>
      <c r="E379" s="53"/>
      <c r="F379" s="53"/>
      <c r="G379" s="53"/>
      <c r="H379" s="53" t="s">
        <v>3617</v>
      </c>
      <c r="I379" s="53"/>
      <c r="J379" s="3197"/>
      <c r="K379" s="3198"/>
      <c r="L379" s="53" t="s">
        <v>3958</v>
      </c>
      <c r="M379" s="1913"/>
      <c r="N379" s="1914"/>
      <c r="AE379" s="51"/>
      <c r="AF379" s="51"/>
    </row>
    <row r="380" spans="1:32" s="43" customFormat="1" ht="10.5" customHeight="1">
      <c r="B380" s="37" t="s">
        <v>99</v>
      </c>
      <c r="C380" s="53" t="s">
        <v>3959</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6" t="s">
        <v>3960</v>
      </c>
      <c r="D382" s="138"/>
      <c r="E382" s="138"/>
      <c r="F382" s="138"/>
      <c r="G382" s="138"/>
      <c r="H382" s="138"/>
      <c r="J382" s="1919" t="s">
        <v>3965</v>
      </c>
      <c r="K382" s="1919"/>
      <c r="L382" s="1919"/>
      <c r="M382" s="1919"/>
      <c r="N382" s="1917" t="s">
        <v>3962</v>
      </c>
      <c r="O382" s="1917"/>
      <c r="P382" s="138"/>
      <c r="Q382" s="138"/>
      <c r="R382" s="138"/>
      <c r="AE382" s="51"/>
      <c r="AF382" s="51"/>
    </row>
    <row r="383" spans="1:32" s="43" customFormat="1" ht="10.5" customHeight="1">
      <c r="B383" s="37" t="s">
        <v>1750</v>
      </c>
      <c r="C383" s="956" t="s">
        <v>3961</v>
      </c>
      <c r="E383" s="1594"/>
      <c r="F383" s="1594"/>
      <c r="G383" s="1594"/>
      <c r="H383" s="1594"/>
      <c r="J383" s="3199"/>
      <c r="K383" s="3200"/>
      <c r="L383" s="1915"/>
      <c r="M383" s="1916"/>
      <c r="N383" s="1208" t="str">
        <f>IF(J383="","",J377/J383)</f>
        <v/>
      </c>
      <c r="O383" s="1209" t="str">
        <f>IF(L383="","",L377/L383)</f>
        <v/>
      </c>
      <c r="P383" s="2929"/>
      <c r="Q383" s="561"/>
      <c r="AE383" s="51"/>
      <c r="AF383" s="51"/>
    </row>
    <row r="384" spans="1:32" s="43" customFormat="1" ht="10.5" customHeight="1">
      <c r="B384" s="37" t="s">
        <v>1751</v>
      </c>
      <c r="C384" s="53" t="s">
        <v>3964</v>
      </c>
      <c r="E384" s="138"/>
      <c r="F384" s="138"/>
      <c r="G384" s="138"/>
      <c r="H384" s="138"/>
      <c r="N384" s="138"/>
      <c r="O384" s="484" t="s">
        <v>1751</v>
      </c>
      <c r="P384" s="3201"/>
      <c r="Q384" s="1454"/>
      <c r="AE384" s="51"/>
      <c r="AF384" s="51"/>
    </row>
    <row r="385" spans="1:32" s="43" customFormat="1" ht="10.5" customHeight="1">
      <c r="B385" s="37" t="s">
        <v>1752</v>
      </c>
      <c r="C385" s="53" t="s">
        <v>3966</v>
      </c>
      <c r="E385" s="138"/>
      <c r="F385" s="138"/>
      <c r="G385" s="138"/>
      <c r="H385" s="138"/>
      <c r="M385" s="138"/>
      <c r="N385" s="138"/>
      <c r="O385" s="484" t="s">
        <v>1752</v>
      </c>
      <c r="P385" s="2928"/>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13" t="s">
        <v>4649</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1879</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4157</v>
      </c>
      <c r="B392" s="4" t="s">
        <v>2700</v>
      </c>
      <c r="C392" s="4"/>
      <c r="D392" s="4"/>
      <c r="E392" s="4"/>
      <c r="F392" s="4"/>
      <c r="G392" s="4"/>
      <c r="H392" s="1592"/>
      <c r="I392" s="1592"/>
      <c r="J392" s="1592"/>
      <c r="O392" s="136" t="s">
        <v>1880</v>
      </c>
      <c r="P392" s="1897"/>
      <c r="Q392" s="1904"/>
    </row>
    <row r="393" spans="1:32" ht="11.45" customHeight="1">
      <c r="A393" s="48" t="s">
        <v>1998</v>
      </c>
      <c r="B393" s="121" t="s">
        <v>1044</v>
      </c>
      <c r="E393" s="3202"/>
      <c r="F393" s="3203"/>
      <c r="G393" s="3203"/>
      <c r="H393" s="3203"/>
      <c r="I393" s="3204"/>
      <c r="J393" s="1907" t="s">
        <v>2687</v>
      </c>
      <c r="K393" s="1986"/>
      <c r="L393" s="1908"/>
      <c r="M393" s="3202"/>
      <c r="N393" s="3203"/>
      <c r="O393" s="3203"/>
      <c r="P393" s="3203"/>
      <c r="Q393" s="3204"/>
    </row>
    <row r="394" spans="1:32" ht="11.45" customHeight="1">
      <c r="A394" s="48" t="s">
        <v>2000</v>
      </c>
      <c r="B394" s="53" t="s">
        <v>3485</v>
      </c>
      <c r="D394" s="53"/>
      <c r="E394" s="53"/>
      <c r="F394" s="53"/>
      <c r="G394" s="53"/>
      <c r="H394" s="53"/>
      <c r="I394" s="53"/>
      <c r="J394" s="53"/>
      <c r="K394" s="53"/>
      <c r="L394" s="956"/>
      <c r="M394" s="956"/>
      <c r="O394" s="484" t="s">
        <v>2000</v>
      </c>
      <c r="P394" s="2929"/>
      <c r="Q394" s="561"/>
    </row>
    <row r="395" spans="1:32" ht="22.5" customHeight="1">
      <c r="A395" s="146" t="s">
        <v>757</v>
      </c>
      <c r="B395" s="1892" t="s">
        <v>3495</v>
      </c>
      <c r="C395" s="1892"/>
      <c r="D395" s="1892"/>
      <c r="E395" s="1892"/>
      <c r="F395" s="1892"/>
      <c r="G395" s="1892"/>
      <c r="H395" s="1892"/>
      <c r="I395" s="1892"/>
      <c r="J395" s="1892"/>
      <c r="K395" s="1892"/>
      <c r="L395" s="1892"/>
      <c r="M395" s="1892"/>
      <c r="N395" s="1892"/>
      <c r="O395" s="166" t="s">
        <v>757</v>
      </c>
      <c r="P395" s="3147"/>
      <c r="Q395" s="564"/>
    </row>
    <row r="396" spans="1:32">
      <c r="A396" s="48" t="s">
        <v>2130</v>
      </c>
      <c r="B396" s="56" t="s">
        <v>3724</v>
      </c>
      <c r="G396" s="1594"/>
      <c r="H396" s="1594"/>
      <c r="I396" s="1594"/>
      <c r="J396" s="956" t="s">
        <v>3725</v>
      </c>
      <c r="L396" s="1594"/>
      <c r="M396" s="1987">
        <f>'Part III-Sources of Funds'!E11</f>
        <v>0</v>
      </c>
      <c r="N396" s="1988"/>
      <c r="O396" s="484" t="s">
        <v>2130</v>
      </c>
      <c r="P396" s="2928"/>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13" t="s">
        <v>4647</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1879</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4158</v>
      </c>
      <c r="B402" s="4" t="s">
        <v>2684</v>
      </c>
      <c r="C402" s="4"/>
      <c r="D402" s="4"/>
      <c r="E402" s="1592"/>
      <c r="G402" s="144" t="s">
        <v>708</v>
      </c>
      <c r="H402" s="1592"/>
      <c r="I402" s="1592"/>
      <c r="J402" s="1592"/>
      <c r="K402" s="1592"/>
      <c r="L402" s="1592"/>
      <c r="M402" s="1592"/>
      <c r="O402" s="136" t="s">
        <v>1880</v>
      </c>
      <c r="P402" s="1897"/>
      <c r="Q402" s="1898"/>
    </row>
    <row r="403" spans="1:31" ht="12" customHeight="1">
      <c r="A403" s="48" t="s">
        <v>1998</v>
      </c>
      <c r="B403" s="53" t="s">
        <v>2689</v>
      </c>
      <c r="D403" s="957"/>
      <c r="E403" s="957"/>
      <c r="H403" s="144"/>
      <c r="O403" s="484" t="s">
        <v>1998</v>
      </c>
      <c r="P403" s="2929"/>
      <c r="Q403" s="561"/>
    </row>
    <row r="404" spans="1:31" ht="12" customHeight="1">
      <c r="A404" s="48" t="s">
        <v>2000</v>
      </c>
      <c r="B404" s="53" t="s">
        <v>3607</v>
      </c>
      <c r="D404" s="957"/>
      <c r="E404" s="957"/>
      <c r="O404" s="484" t="s">
        <v>2000</v>
      </c>
      <c r="P404" s="2935"/>
      <c r="Q404" s="562"/>
    </row>
    <row r="405" spans="1:31" ht="12" customHeight="1">
      <c r="A405" s="48" t="s">
        <v>757</v>
      </c>
      <c r="B405" s="53" t="s">
        <v>4121</v>
      </c>
      <c r="D405" s="957"/>
      <c r="E405" s="957"/>
      <c r="O405" s="484" t="s">
        <v>757</v>
      </c>
      <c r="P405" s="2935"/>
      <c r="Q405" s="562"/>
    </row>
    <row r="406" spans="1:31" ht="12" customHeight="1">
      <c r="A406" s="48" t="s">
        <v>2130</v>
      </c>
      <c r="B406" s="53" t="s">
        <v>3608</v>
      </c>
      <c r="E406" s="144"/>
      <c r="O406" s="484" t="s">
        <v>2130</v>
      </c>
      <c r="P406" s="2935"/>
      <c r="Q406" s="562"/>
    </row>
    <row r="407" spans="1:31" ht="12" customHeight="1">
      <c r="A407" s="48" t="s">
        <v>1748</v>
      </c>
      <c r="B407" s="53" t="s">
        <v>2094</v>
      </c>
      <c r="E407" s="144"/>
      <c r="G407" s="484" t="s">
        <v>1748</v>
      </c>
      <c r="H407" s="3205"/>
      <c r="I407" s="3206"/>
      <c r="J407" s="3206"/>
      <c r="K407" s="3206"/>
      <c r="L407" s="3206"/>
      <c r="M407" s="3206"/>
      <c r="N407" s="3206"/>
      <c r="O407" s="3207"/>
      <c r="P407" s="2928"/>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13"/>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1879</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4159</v>
      </c>
      <c r="B413" s="4" t="s">
        <v>2685</v>
      </c>
      <c r="C413" s="4"/>
      <c r="D413" s="4"/>
      <c r="E413" s="4"/>
      <c r="F413" s="4"/>
      <c r="G413" s="4"/>
      <c r="H413" s="1592"/>
      <c r="I413" s="1592"/>
      <c r="J413" s="1592"/>
      <c r="K413" s="1592"/>
      <c r="L413" s="1592"/>
      <c r="M413" s="1592"/>
      <c r="O413" s="136" t="s">
        <v>1880</v>
      </c>
      <c r="P413" s="1897"/>
      <c r="Q413" s="1898"/>
    </row>
    <row r="414" spans="1:31" ht="12" customHeight="1">
      <c r="A414" s="48" t="s">
        <v>1998</v>
      </c>
      <c r="B414" s="40" t="s">
        <v>760</v>
      </c>
      <c r="D414" s="43"/>
      <c r="E414" s="43"/>
      <c r="F414" s="43"/>
      <c r="G414" s="43"/>
      <c r="H414" s="43"/>
      <c r="I414" s="43"/>
      <c r="J414" s="43"/>
      <c r="K414" s="43"/>
      <c r="L414" s="43"/>
      <c r="M414" s="43"/>
      <c r="N414" s="43"/>
      <c r="O414" s="484" t="s">
        <v>1998</v>
      </c>
      <c r="P414" s="2929" t="s">
        <v>3012</v>
      </c>
      <c r="Q414" s="561"/>
    </row>
    <row r="415" spans="1:31" ht="12" customHeight="1">
      <c r="A415" s="48" t="s">
        <v>2000</v>
      </c>
      <c r="B415" s="37" t="s">
        <v>3497</v>
      </c>
      <c r="D415" s="43"/>
      <c r="E415" s="43"/>
      <c r="F415" s="43"/>
      <c r="G415" s="43"/>
      <c r="H415" s="43"/>
      <c r="I415" s="43"/>
      <c r="J415" s="43"/>
      <c r="K415" s="43"/>
      <c r="L415" s="43"/>
      <c r="M415" s="43"/>
      <c r="N415" s="43"/>
      <c r="O415" s="484" t="s">
        <v>1458</v>
      </c>
      <c r="P415" s="2928"/>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484" t="s">
        <v>1751</v>
      </c>
      <c r="P417" s="2929"/>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2216</v>
      </c>
      <c r="C419" s="53"/>
      <c r="E419" s="53"/>
      <c r="F419" s="53"/>
      <c r="G419" s="53"/>
      <c r="H419" s="53"/>
      <c r="I419" s="53"/>
      <c r="J419" s="53"/>
      <c r="K419" s="53"/>
      <c r="L419" s="53"/>
      <c r="M419" s="53"/>
      <c r="N419" s="53"/>
      <c r="O419" s="484" t="s">
        <v>757</v>
      </c>
      <c r="P419" s="2928"/>
      <c r="Q419" s="563"/>
    </row>
    <row r="420" spans="1:32" ht="12" customHeight="1">
      <c r="A420" s="48" t="s">
        <v>2130</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2217</v>
      </c>
      <c r="C421" s="37"/>
      <c r="E421" s="43"/>
      <c r="F421" s="956"/>
      <c r="G421" s="3208"/>
      <c r="H421" s="572"/>
      <c r="J421" s="139" t="s">
        <v>2220</v>
      </c>
      <c r="K421" s="956"/>
      <c r="N421" s="3208"/>
      <c r="O421" s="572"/>
    </row>
    <row r="422" spans="1:32" ht="12" customHeight="1">
      <c r="A422" s="48"/>
      <c r="B422" s="139" t="s">
        <v>2218</v>
      </c>
      <c r="C422" s="37"/>
      <c r="E422" s="43"/>
      <c r="F422" s="956"/>
      <c r="G422" s="3209"/>
      <c r="H422" s="573"/>
      <c r="J422" s="139" t="s">
        <v>2221</v>
      </c>
      <c r="K422" s="956"/>
      <c r="N422" s="3210"/>
      <c r="O422" s="574"/>
    </row>
    <row r="423" spans="1:32" ht="12" customHeight="1">
      <c r="A423" s="48"/>
      <c r="B423" s="139" t="s">
        <v>2219</v>
      </c>
      <c r="C423" s="37"/>
      <c r="E423" s="43"/>
      <c r="F423" s="956"/>
      <c r="G423" s="3210"/>
      <c r="H423" s="574"/>
      <c r="K423" s="956"/>
      <c r="L423" s="956"/>
      <c r="M423" s="956"/>
      <c r="N423" s="43"/>
      <c r="O423" s="484"/>
    </row>
    <row r="424" spans="1:32" ht="12" customHeight="1">
      <c r="A424" s="48" t="s">
        <v>1748</v>
      </c>
      <c r="B424" s="956" t="s">
        <v>2400</v>
      </c>
      <c r="C424" s="956"/>
      <c r="E424" s="956"/>
      <c r="F424" s="956"/>
      <c r="G424" s="956"/>
      <c r="J424" s="43"/>
      <c r="K424" s="956"/>
      <c r="L424" s="956"/>
      <c r="M424" s="956"/>
      <c r="N424" s="43"/>
      <c r="O424" s="484"/>
      <c r="P424" s="484"/>
      <c r="Q424" s="484"/>
    </row>
    <row r="425" spans="1:32" ht="12" customHeight="1">
      <c r="A425" s="43"/>
      <c r="B425" s="446" t="s">
        <v>2222</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2268</v>
      </c>
      <c r="N426" s="3211"/>
      <c r="O426" s="3212"/>
      <c r="P426" s="3212"/>
      <c r="Q426" s="3213"/>
    </row>
    <row r="427" spans="1:32" ht="12" customHeight="1">
      <c r="B427" s="145" t="s">
        <v>3779</v>
      </c>
      <c r="D427" s="145"/>
      <c r="E427" s="145"/>
      <c r="F427" s="145"/>
      <c r="G427" s="145"/>
      <c r="H427" s="41"/>
      <c r="I427" s="1589"/>
      <c r="J427" s="1589"/>
      <c r="K427" s="1589"/>
      <c r="P427" s="1585"/>
      <c r="Q427" s="955"/>
    </row>
    <row r="428" spans="1:32" ht="12" customHeight="1">
      <c r="A428" s="3113" t="s">
        <v>4666</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1879</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4160</v>
      </c>
      <c r="B432" s="4" t="s">
        <v>2833</v>
      </c>
      <c r="C432" s="4"/>
      <c r="D432" s="89"/>
      <c r="E432" s="1592"/>
      <c r="F432" s="1592"/>
      <c r="G432" s="1592"/>
      <c r="H432" s="1592"/>
      <c r="O432" s="136" t="s">
        <v>1880</v>
      </c>
      <c r="P432" s="1897"/>
      <c r="Q432" s="1904"/>
    </row>
    <row r="433" spans="1:32" ht="13.9" customHeight="1">
      <c r="B433" s="89" t="s">
        <v>3967</v>
      </c>
      <c r="C433" s="4"/>
      <c r="D433" s="89"/>
      <c r="E433" s="1592"/>
      <c r="F433" s="1592"/>
      <c r="G433" s="1592"/>
      <c r="H433" s="1592"/>
    </row>
    <row r="434" spans="1:32" s="137" customFormat="1" ht="21.75" customHeight="1">
      <c r="A434" s="146" t="s">
        <v>1998</v>
      </c>
      <c r="B434" s="1893" t="s">
        <v>3970</v>
      </c>
      <c r="C434" s="1893"/>
      <c r="D434" s="1893"/>
      <c r="E434" s="1893"/>
      <c r="F434" s="1893"/>
      <c r="G434" s="1893"/>
      <c r="H434" s="1893"/>
      <c r="I434" s="1893"/>
      <c r="J434" s="1893"/>
      <c r="K434" s="1893"/>
      <c r="L434" s="1893"/>
      <c r="M434" s="1893"/>
      <c r="N434" s="1893"/>
      <c r="O434" s="166" t="s">
        <v>1998</v>
      </c>
      <c r="P434" s="3071" t="s">
        <v>4635</v>
      </c>
      <c r="Q434" s="1261"/>
      <c r="AE434" s="487"/>
      <c r="AF434" s="487"/>
    </row>
    <row r="435" spans="1:32" s="137" customFormat="1" ht="22.5" customHeight="1">
      <c r="A435" s="146" t="s">
        <v>2000</v>
      </c>
      <c r="B435" s="1893" t="s">
        <v>3968</v>
      </c>
      <c r="C435" s="1893"/>
      <c r="D435" s="1893"/>
      <c r="E435" s="1893"/>
      <c r="F435" s="1893"/>
      <c r="G435" s="1893"/>
      <c r="H435" s="1893"/>
      <c r="I435" s="1893"/>
      <c r="J435" s="1893"/>
      <c r="K435" s="1893"/>
      <c r="L435" s="1893"/>
      <c r="M435" s="1893"/>
      <c r="N435" s="1893"/>
      <c r="O435" s="166" t="s">
        <v>2000</v>
      </c>
      <c r="P435" s="3147" t="s">
        <v>4635</v>
      </c>
      <c r="Q435" s="564"/>
      <c r="AE435" s="487"/>
      <c r="AF435" s="487"/>
    </row>
    <row r="436" spans="1:32" s="137" customFormat="1" ht="22.5" customHeight="1">
      <c r="B436" s="1893" t="s">
        <v>3969</v>
      </c>
      <c r="C436" s="1893"/>
      <c r="D436" s="1893"/>
      <c r="E436" s="1893"/>
      <c r="F436" s="1893"/>
      <c r="G436" s="1893"/>
      <c r="H436" s="1893"/>
      <c r="I436" s="1893"/>
      <c r="J436" s="1893"/>
      <c r="K436" s="1893"/>
      <c r="L436" s="1893"/>
      <c r="M436" s="1893"/>
      <c r="N436" s="1893"/>
      <c r="O436" s="166" t="s">
        <v>1750</v>
      </c>
      <c r="P436" s="3147" t="s">
        <v>4635</v>
      </c>
      <c r="Q436" s="564"/>
      <c r="AE436" s="487"/>
      <c r="AF436" s="487"/>
    </row>
    <row r="437" spans="1:32" s="137" customFormat="1" ht="12" customHeight="1">
      <c r="B437" s="405" t="s">
        <v>3971</v>
      </c>
      <c r="D437" s="622"/>
      <c r="E437" s="622"/>
      <c r="F437" s="622"/>
      <c r="G437" s="622"/>
      <c r="H437" s="622"/>
      <c r="I437" s="622"/>
      <c r="J437" s="622"/>
      <c r="K437" s="622"/>
      <c r="L437" s="622"/>
      <c r="M437" s="622"/>
      <c r="N437" s="622"/>
      <c r="O437" s="166" t="s">
        <v>1751</v>
      </c>
      <c r="P437" s="3147" t="s">
        <v>4635</v>
      </c>
      <c r="Q437" s="564"/>
      <c r="AE437" s="487"/>
      <c r="AF437" s="487"/>
    </row>
    <row r="438" spans="1:32" s="137" customFormat="1" ht="36" customHeight="1">
      <c r="B438" s="1893" t="s">
        <v>3972</v>
      </c>
      <c r="C438" s="1893"/>
      <c r="D438" s="1893"/>
      <c r="E438" s="1893"/>
      <c r="F438" s="1893"/>
      <c r="G438" s="1893"/>
      <c r="H438" s="1893"/>
      <c r="I438" s="1893"/>
      <c r="J438" s="1893"/>
      <c r="K438" s="1893"/>
      <c r="L438" s="1893"/>
      <c r="M438" s="1893"/>
      <c r="N438" s="1893"/>
      <c r="O438" s="166" t="s">
        <v>1752</v>
      </c>
      <c r="P438" s="3147" t="s">
        <v>4635</v>
      </c>
      <c r="Q438" s="564"/>
      <c r="AE438" s="487"/>
      <c r="AF438" s="487"/>
    </row>
    <row r="439" spans="1:32" s="137" customFormat="1" ht="22.5" customHeight="1">
      <c r="B439" s="1893" t="s">
        <v>3973</v>
      </c>
      <c r="C439" s="1893"/>
      <c r="D439" s="1893"/>
      <c r="E439" s="1893"/>
      <c r="F439" s="1893"/>
      <c r="G439" s="1893"/>
      <c r="H439" s="1893"/>
      <c r="I439" s="1893"/>
      <c r="J439" s="1893"/>
      <c r="K439" s="1893"/>
      <c r="L439" s="1893"/>
      <c r="M439" s="1893"/>
      <c r="N439" s="1893"/>
      <c r="O439" s="166" t="s">
        <v>2380</v>
      </c>
      <c r="P439" s="3147" t="s">
        <v>4635</v>
      </c>
      <c r="Q439" s="564"/>
      <c r="AE439" s="487"/>
      <c r="AF439" s="487"/>
    </row>
    <row r="440" spans="1:32" s="137" customFormat="1" ht="22.5" customHeight="1">
      <c r="A440" s="146" t="s">
        <v>757</v>
      </c>
      <c r="B440" s="1893" t="s">
        <v>3974</v>
      </c>
      <c r="C440" s="1893"/>
      <c r="D440" s="1893"/>
      <c r="E440" s="1893"/>
      <c r="F440" s="1893"/>
      <c r="G440" s="1893"/>
      <c r="H440" s="1893"/>
      <c r="I440" s="1893"/>
      <c r="J440" s="1893"/>
      <c r="K440" s="1893"/>
      <c r="L440" s="1893"/>
      <c r="M440" s="1893"/>
      <c r="N440" s="1893"/>
      <c r="O440" s="166" t="s">
        <v>757</v>
      </c>
      <c r="P440" s="3147" t="s">
        <v>4635</v>
      </c>
      <c r="Q440" s="564"/>
      <c r="AE440" s="487"/>
      <c r="AF440" s="487"/>
    </row>
    <row r="441" spans="1:32" s="137" customFormat="1" ht="22.5" customHeight="1">
      <c r="A441" s="146" t="s">
        <v>2130</v>
      </c>
      <c r="B441" s="1893" t="s">
        <v>3975</v>
      </c>
      <c r="C441" s="1893"/>
      <c r="D441" s="1893"/>
      <c r="E441" s="1893"/>
      <c r="F441" s="1893"/>
      <c r="G441" s="1893"/>
      <c r="H441" s="1893"/>
      <c r="I441" s="1893"/>
      <c r="J441" s="1893"/>
      <c r="K441" s="1893"/>
      <c r="L441" s="1893"/>
      <c r="M441" s="1893"/>
      <c r="N441" s="1893"/>
      <c r="O441" s="166" t="s">
        <v>2130</v>
      </c>
      <c r="P441" s="3147" t="s">
        <v>4635</v>
      </c>
      <c r="Q441" s="564"/>
      <c r="AE441" s="487"/>
      <c r="AF441" s="487"/>
    </row>
    <row r="442" spans="1:32" s="137" customFormat="1" ht="21.75" customHeight="1">
      <c r="A442" s="146" t="s">
        <v>1748</v>
      </c>
      <c r="B442" s="1893" t="s">
        <v>3976</v>
      </c>
      <c r="C442" s="1893"/>
      <c r="D442" s="1893"/>
      <c r="E442" s="1893"/>
      <c r="F442" s="1893"/>
      <c r="G442" s="1893"/>
      <c r="H442" s="1893"/>
      <c r="I442" s="1893"/>
      <c r="J442" s="1893"/>
      <c r="K442" s="1893"/>
      <c r="L442" s="1893"/>
      <c r="M442" s="1893"/>
      <c r="N442" s="1893"/>
      <c r="O442" s="166" t="s">
        <v>1748</v>
      </c>
      <c r="P442" s="3147" t="s">
        <v>4635</v>
      </c>
      <c r="Q442" s="564"/>
      <c r="AE442" s="487"/>
      <c r="AF442" s="487"/>
    </row>
    <row r="443" spans="1:32" s="429" customFormat="1" ht="21.75" customHeight="1">
      <c r="A443" s="146" t="s">
        <v>1749</v>
      </c>
      <c r="B443" s="1893" t="s">
        <v>3498</v>
      </c>
      <c r="C443" s="1893"/>
      <c r="D443" s="1893"/>
      <c r="E443" s="1893"/>
      <c r="F443" s="1893"/>
      <c r="G443" s="1893"/>
      <c r="H443" s="1893"/>
      <c r="I443" s="1893"/>
      <c r="J443" s="1893"/>
      <c r="K443" s="1893"/>
      <c r="L443" s="1893"/>
      <c r="M443" s="1893"/>
      <c r="N443" s="1893"/>
      <c r="O443" s="166" t="s">
        <v>1749</v>
      </c>
      <c r="P443" s="3094" t="s">
        <v>4635</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113" t="s">
        <v>4650</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1879</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4161</v>
      </c>
      <c r="B449" s="4" t="s">
        <v>2686</v>
      </c>
      <c r="C449" s="4"/>
      <c r="D449" s="89"/>
      <c r="E449" s="1592"/>
      <c r="F449" s="1592"/>
      <c r="G449" s="1592"/>
      <c r="H449" s="1592"/>
      <c r="I449" s="1592"/>
      <c r="J449" s="1592"/>
      <c r="K449" s="1592"/>
      <c r="L449" s="1592"/>
      <c r="M449" s="1592"/>
      <c r="O449" s="136" t="s">
        <v>1880</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22.5" customHeight="1">
      <c r="A451" s="3113" t="s">
        <v>4679</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1879</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2902</v>
      </c>
      <c r="P474" s="1147"/>
      <c r="Q474" s="1145"/>
      <c r="R474" s="1145"/>
      <c r="AE474" s="454"/>
      <c r="AF474" s="454"/>
    </row>
    <row r="475" spans="1:32" s="446" customFormat="1" ht="11.25">
      <c r="C475" s="1145" t="s">
        <v>2104</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2560</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2105</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2106</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2107</v>
      </c>
      <c r="D479" s="1144"/>
      <c r="E479" s="1144"/>
      <c r="F479" s="1144"/>
      <c r="G479" s="1144"/>
      <c r="H479" s="1144"/>
      <c r="I479" s="1144"/>
      <c r="J479" s="1149" t="s">
        <v>2119</v>
      </c>
      <c r="K479" s="1144"/>
      <c r="L479" s="1145"/>
      <c r="M479" s="1145"/>
      <c r="N479" s="1146"/>
      <c r="O479" s="1145" t="s">
        <v>3895</v>
      </c>
      <c r="P479" s="1147"/>
      <c r="Q479" s="1145"/>
      <c r="R479" s="1145"/>
      <c r="AE479" s="454"/>
      <c r="AF479" s="454"/>
    </row>
    <row r="480" spans="1:32" s="446" customFormat="1" ht="11.25">
      <c r="C480" s="1154" t="s">
        <v>2108</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2120</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2148</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2143</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2144</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2145</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2146</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2147</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2118</v>
      </c>
      <c r="K493" s="1145"/>
      <c r="L493" s="1145"/>
      <c r="M493" s="1145"/>
      <c r="N493" s="1146"/>
      <c r="O493" s="1147"/>
      <c r="P493" s="1147"/>
      <c r="Q493" s="1145"/>
      <c r="R493" s="1145"/>
      <c r="AE493" s="454"/>
      <c r="AF493" s="454"/>
    </row>
    <row r="494" spans="3:32" s="446" customFormat="1" ht="11.25">
      <c r="C494" s="1150" t="s">
        <v>2297</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2104</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2105</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2026</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1889</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2171</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1894</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2025</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2256</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2342</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3944</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3943</v>
      </c>
      <c r="L543" s="1144"/>
      <c r="M543" s="1144"/>
      <c r="N543" s="1144"/>
      <c r="O543" s="1144"/>
      <c r="P543" s="1144"/>
      <c r="Q543" s="1144"/>
      <c r="R543" s="1144"/>
      <c r="AE543" s="430"/>
      <c r="AF543" s="430"/>
    </row>
    <row r="544" spans="3:32" s="56" customFormat="1" ht="11.25">
      <c r="C544" s="1144" t="s">
        <v>2133</v>
      </c>
      <c r="D544" s="1144"/>
      <c r="E544" s="1144"/>
      <c r="F544" s="1144"/>
      <c r="G544" s="1144"/>
      <c r="H544" s="1144"/>
      <c r="I544" s="1144"/>
      <c r="J544" s="1144"/>
      <c r="K544" s="1144" t="s">
        <v>3945</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1962</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2383</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2104</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2105</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1963</v>
      </c>
      <c r="D558" s="1144"/>
      <c r="E558" s="1144"/>
      <c r="F558" s="1144"/>
      <c r="G558" s="1144"/>
      <c r="H558" s="1144"/>
      <c r="I558" s="1144"/>
      <c r="J558" s="1144"/>
      <c r="K558" s="1144" t="s">
        <v>1972</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2210</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1888</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1889</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2052</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VecCNqsJ5h8Jme9DH7hB3NHbm7IW0KN8Di4wKKSmojRk4WGFBeqfg1PgUyBfJnekubbNauc5iqj93ap8b9SD2g==" saltValue="6iTgfFcHoP93mIfV0QjMK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23" priority="2" stopIfTrue="1" operator="greaterThan">
      <formula>0</formula>
    </cfRule>
  </conditionalFormatting>
  <conditionalFormatting sqref="R40:R42">
    <cfRule type="cellIs" dxfId="22"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7"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2018-030 Sparrow Pointe at Forest Hill, Moultrie, Colquitt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4137</v>
      </c>
      <c r="B3" s="2125"/>
      <c r="C3" s="2125"/>
      <c r="D3" s="2125"/>
      <c r="E3" s="2125"/>
      <c r="F3" s="2125"/>
      <c r="G3" s="2125"/>
      <c r="H3" s="2125"/>
      <c r="I3" s="2125"/>
      <c r="J3" s="2125"/>
      <c r="K3" s="2125"/>
      <c r="L3" s="2125"/>
      <c r="M3" s="1269" t="s">
        <v>2234</v>
      </c>
      <c r="N3" s="76"/>
      <c r="O3" s="86" t="s">
        <v>2233</v>
      </c>
      <c r="P3" s="1270" t="s">
        <v>258</v>
      </c>
    </row>
    <row r="4" spans="1:22" s="45" customFormat="1" ht="12" customHeight="1">
      <c r="A4" s="2125"/>
      <c r="B4" s="2125"/>
      <c r="C4" s="2125"/>
      <c r="D4" s="2125"/>
      <c r="E4" s="2125"/>
      <c r="F4" s="2125"/>
      <c r="G4" s="2125"/>
      <c r="H4" s="2125"/>
      <c r="I4" s="2125"/>
      <c r="J4" s="2125"/>
      <c r="K4" s="2125"/>
      <c r="L4" s="2125"/>
      <c r="M4" s="1271"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2801</v>
      </c>
      <c r="C8" s="4"/>
      <c r="D8" s="4"/>
      <c r="E8" s="4"/>
      <c r="F8" s="1593"/>
      <c r="H8" s="50" t="s">
        <v>3499</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1998</v>
      </c>
      <c r="B10" s="172" t="s">
        <v>1881</v>
      </c>
      <c r="D10" s="49"/>
      <c r="E10" s="49"/>
      <c r="F10" s="1593"/>
      <c r="H10" s="179" t="s">
        <v>3673</v>
      </c>
      <c r="M10" s="6"/>
      <c r="N10" s="67" t="s">
        <v>1998</v>
      </c>
      <c r="O10" s="2922"/>
      <c r="P10" s="1254">
        <f>F15</f>
        <v>0</v>
      </c>
    </row>
    <row r="11" spans="1:22" s="44" customFormat="1" ht="11.25" customHeight="1">
      <c r="A11" s="185"/>
      <c r="C11" s="113" t="s">
        <v>2128</v>
      </c>
      <c r="D11" s="49"/>
      <c r="E11" s="49"/>
      <c r="F11" s="1593"/>
      <c r="H11" s="179" t="s">
        <v>2782</v>
      </c>
      <c r="J11" s="50"/>
      <c r="M11" s="6">
        <v>1</v>
      </c>
      <c r="N11" s="67"/>
      <c r="O11" s="2923"/>
      <c r="P11" s="1298">
        <f>J15</f>
        <v>0</v>
      </c>
    </row>
    <row r="12" spans="1:22" s="43" customFormat="1" ht="11.25" customHeight="1">
      <c r="A12" s="185" t="s">
        <v>2000</v>
      </c>
      <c r="B12" s="172" t="s">
        <v>734</v>
      </c>
      <c r="D12" s="49"/>
      <c r="E12" s="49"/>
      <c r="F12" s="1593"/>
      <c r="H12" s="179" t="s">
        <v>2746</v>
      </c>
      <c r="J12" s="50"/>
      <c r="M12" s="6"/>
      <c r="N12" s="67" t="s">
        <v>2000</v>
      </c>
      <c r="O12" s="2922"/>
      <c r="P12" s="1254">
        <f>O15</f>
        <v>0</v>
      </c>
    </row>
    <row r="13" spans="1:22" s="43" customFormat="1" ht="10.9" customHeight="1">
      <c r="A13" s="69"/>
      <c r="C13" s="113" t="s">
        <v>4192</v>
      </c>
      <c r="D13" s="53"/>
      <c r="E13" s="53"/>
      <c r="F13" s="53"/>
      <c r="G13" s="69"/>
      <c r="H13" s="179" t="s">
        <v>2746</v>
      </c>
      <c r="I13" s="69"/>
      <c r="J13" s="69"/>
      <c r="K13" s="69"/>
      <c r="L13" s="69"/>
      <c r="M13" s="69"/>
      <c r="N13" s="69"/>
      <c r="O13" s="2924"/>
      <c r="P13" s="1255">
        <f>+O29</f>
        <v>0</v>
      </c>
      <c r="R13" s="463"/>
      <c r="S13" s="163"/>
    </row>
    <row r="14" spans="1:22" s="43" customFormat="1" ht="10.9" customHeight="1">
      <c r="A14" s="2163" t="s">
        <v>3872</v>
      </c>
      <c r="B14" s="2163"/>
      <c r="C14" s="2163"/>
      <c r="D14" s="2163"/>
      <c r="E14" s="2163"/>
      <c r="F14" s="1589" t="s">
        <v>4195</v>
      </c>
      <c r="J14" s="1589" t="s">
        <v>4195</v>
      </c>
      <c r="K14" s="1589"/>
      <c r="O14" s="2167" t="s">
        <v>4195</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3392</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2923</v>
      </c>
      <c r="K18" s="2123">
        <v>3</v>
      </c>
      <c r="L18" s="2124"/>
      <c r="M18" s="2124"/>
      <c r="N18" s="2124"/>
      <c r="O18" s="2174" t="s">
        <v>2923</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2923</v>
      </c>
      <c r="P19" s="2175"/>
      <c r="Q19" s="462"/>
      <c r="R19" s="163"/>
    </row>
    <row r="20" spans="1:19" s="43" customFormat="1" ht="24.75" customHeight="1">
      <c r="A20" s="2143">
        <v>5</v>
      </c>
      <c r="B20" s="2144"/>
      <c r="C20" s="2144"/>
      <c r="D20" s="2144"/>
      <c r="E20" s="2145"/>
      <c r="F20" s="936"/>
      <c r="G20" s="2143">
        <v>5</v>
      </c>
      <c r="H20" s="2144"/>
      <c r="I20" s="2145"/>
      <c r="J20" s="1313"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4226</v>
      </c>
      <c r="F28" s="2148" t="s">
        <v>4540</v>
      </c>
      <c r="G28" s="2148"/>
      <c r="H28" s="2148"/>
      <c r="I28" s="2148"/>
      <c r="J28" s="2148"/>
      <c r="K28" s="2148"/>
      <c r="L28" s="2148"/>
      <c r="M28" s="2148"/>
      <c r="N28" s="2148"/>
      <c r="O28" s="2148"/>
      <c r="P28" s="2148"/>
      <c r="Q28" s="112"/>
      <c r="R28" s="391"/>
    </row>
    <row r="29" spans="1:19" s="43" customFormat="1" ht="10.5" customHeight="1">
      <c r="A29" s="303" t="s">
        <v>4196</v>
      </c>
      <c r="B29" s="1316" t="s">
        <v>4197</v>
      </c>
      <c r="C29" s="1316"/>
      <c r="D29" s="1316"/>
      <c r="E29" s="2147"/>
      <c r="F29" s="2149" t="s">
        <v>4225</v>
      </c>
      <c r="G29" s="2149"/>
      <c r="H29" s="2149"/>
      <c r="I29" s="2149"/>
      <c r="J29" s="2149"/>
      <c r="K29" s="2149"/>
      <c r="L29" s="2149"/>
      <c r="M29" s="2149"/>
      <c r="N29" s="2150"/>
      <c r="O29" s="2136">
        <f>SUM(O30:O41)</f>
        <v>0</v>
      </c>
      <c r="P29" s="2137"/>
      <c r="Q29" s="463"/>
      <c r="R29" s="163"/>
    </row>
    <row r="30" spans="1:19" s="43" customFormat="1" ht="10.5" customHeight="1">
      <c r="A30" s="1299" t="s">
        <v>750</v>
      </c>
      <c r="B30" s="1300" t="s">
        <v>4198</v>
      </c>
      <c r="C30" s="1301"/>
      <c r="D30" s="1302"/>
      <c r="E30" s="1358">
        <f>$O$57</f>
        <v>10</v>
      </c>
      <c r="F30" s="2094" t="str">
        <f>$A$63</f>
        <v>The project is a Rural site and is within 0.5 miles from a Place of Worship, which is eligible for 2 points. The project is within 1.5 miles of a National Big Box Store, Traditional Town Square, Grocery Store, Recreation Center, Elementary School, Public Park, Public Library, Medical Care Provider, Police Department, Department Store, Restaurant, Bank, Post Office and a Pharmacy, and is eligible for one (1) desirable point for each. Please see Tab 26 for the Desirable / Undesirable Certification. There are no undesirables.</v>
      </c>
      <c r="G30" s="2095"/>
      <c r="H30" s="2095"/>
      <c r="I30" s="2095"/>
      <c r="J30" s="2095"/>
      <c r="K30" s="2095"/>
      <c r="L30" s="2095"/>
      <c r="M30" s="2095"/>
      <c r="N30" s="2096"/>
      <c r="O30" s="2172" t="s">
        <v>1746</v>
      </c>
      <c r="P30" s="2173"/>
      <c r="Q30" s="461"/>
      <c r="R30" s="163"/>
    </row>
    <row r="31" spans="1:19" s="43" customFormat="1" ht="10.5" customHeight="1">
      <c r="A31" s="1303" t="s">
        <v>1807</v>
      </c>
      <c r="B31" s="1033" t="s">
        <v>4199</v>
      </c>
      <c r="C31" s="1188"/>
      <c r="D31" s="1304"/>
      <c r="E31" s="1359">
        <f>$O$94</f>
        <v>2</v>
      </c>
      <c r="F31" s="2097" t="str">
        <f>$A$107</f>
        <v>The proposed development will be seeking an Earthcraft House Multifamily certification. The minimum score is 100 and we are projecting a score of 123.  Please see Tab 29 of the Application for Sustainable Developments for the documentation.</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4200</v>
      </c>
      <c r="C32" s="1188"/>
      <c r="D32" s="1304"/>
      <c r="E32" s="1359">
        <f>$O$153</f>
        <v>3</v>
      </c>
      <c r="F32" s="2097" t="str">
        <f>$A$185</f>
        <v>Please see Tab 31 of the application for evidence that the project is within the boundaries of Colquitt County High School and the CCRPI reports for 2015, 2016 and 2017 showing a three year average above the threshold for the Quality Education Area point. Also in included in Tab 30 of the application is the report from the Census Bureau's OnTheMap website demonstrating that the site meets the requirements for 2 points in this section as well as documentation identifying the address entered into the search box. The propsed site exceeds the minimum jobs threshold by 50%.</v>
      </c>
      <c r="G32" s="2098"/>
      <c r="H32" s="2098"/>
      <c r="I32" s="2098"/>
      <c r="J32" s="2098"/>
      <c r="K32" s="2098"/>
      <c r="L32" s="2098"/>
      <c r="M32" s="2098"/>
      <c r="N32" s="2099"/>
      <c r="O32" s="2134" t="s">
        <v>2923</v>
      </c>
      <c r="P32" s="2135"/>
      <c r="Q32" s="2204"/>
      <c r="R32" s="2205"/>
      <c r="S32" s="2205"/>
    </row>
    <row r="33" spans="1:19" s="43" customFormat="1" ht="10.5" customHeight="1">
      <c r="A33" s="1303" t="s">
        <v>294</v>
      </c>
      <c r="B33" s="1033" t="s">
        <v>4201</v>
      </c>
      <c r="C33" s="1188"/>
      <c r="D33" s="1304"/>
      <c r="E33" s="1432">
        <f>$O$189</f>
        <v>6</v>
      </c>
      <c r="F33" s="2102" t="str">
        <f>$A$224</f>
        <v>Please see Tab 32 of the application for evidence of the project site in a QCT, the DCA Community Redevelopment Certificate and additional information regarding the redevelopment plan. A full copy of the plan is included in Tab 32 and meets the DCA requirements and clearly delineates the Targeted Area, which includes the proposed site, but not the entire surrounding city, provides evidence of public input and engagement during the planning stages, contains policy goals that call for the rehabilitation/production of affordable rental housing, specifies implementation measures/timeframes/resources for achievements, includes an assessment of the existing physical structures and infrastructure of the proposed community and has been officially adopted by the Local Government.</v>
      </c>
      <c r="G33" s="2103"/>
      <c r="H33" s="2103"/>
      <c r="I33" s="2103"/>
      <c r="J33" s="2103"/>
      <c r="K33" s="2103"/>
      <c r="L33" s="2103"/>
      <c r="M33" s="2103"/>
      <c r="N33" s="2104"/>
      <c r="O33" s="2134" t="s">
        <v>2923</v>
      </c>
      <c r="P33" s="2135"/>
      <c r="Q33" s="2204"/>
      <c r="R33" s="2205"/>
      <c r="S33" s="2205"/>
    </row>
    <row r="34" spans="1:19" s="43" customFormat="1" ht="10.5" customHeight="1">
      <c r="A34" s="1309" t="s">
        <v>428</v>
      </c>
      <c r="B34" s="1310" t="s">
        <v>4202</v>
      </c>
      <c r="C34" s="1311"/>
      <c r="D34" s="1312"/>
      <c r="E34" s="1360" t="s">
        <v>1746</v>
      </c>
      <c r="F34" s="2131" t="str">
        <f>$A$266</f>
        <v>N/A</v>
      </c>
      <c r="G34" s="2132"/>
      <c r="H34" s="2132"/>
      <c r="I34" s="2132"/>
      <c r="J34" s="2132"/>
      <c r="K34" s="2132"/>
      <c r="L34" s="2132"/>
      <c r="M34" s="2132"/>
      <c r="N34" s="2133"/>
      <c r="O34" s="2127"/>
      <c r="P34" s="2128"/>
      <c r="Q34" s="2204"/>
      <c r="R34" s="2205"/>
      <c r="S34" s="2205"/>
    </row>
    <row r="35" spans="1:19" s="43" customFormat="1" ht="10.5" customHeight="1">
      <c r="A35" s="1303" t="s">
        <v>365</v>
      </c>
      <c r="B35" s="1033" t="s">
        <v>3818</v>
      </c>
      <c r="C35" s="1188"/>
      <c r="D35" s="1304"/>
      <c r="E35" s="1359">
        <f>$O$286</f>
        <v>0</v>
      </c>
      <c r="F35" s="2097" t="str">
        <f>$A$290</f>
        <v>N/A</v>
      </c>
      <c r="G35" s="2098"/>
      <c r="H35" s="2098"/>
      <c r="I35" s="2098"/>
      <c r="J35" s="2098"/>
      <c r="K35" s="2098"/>
      <c r="L35" s="2098"/>
      <c r="M35" s="2098"/>
      <c r="N35" s="2099"/>
      <c r="O35" s="2127"/>
      <c r="P35" s="2128"/>
      <c r="Q35" s="2204"/>
      <c r="R35" s="2205"/>
      <c r="S35" s="2205"/>
    </row>
    <row r="36" spans="1:19" s="43" customFormat="1" ht="10.5" customHeight="1">
      <c r="A36" s="1303" t="s">
        <v>2266</v>
      </c>
      <c r="B36" s="1033" t="s">
        <v>4203</v>
      </c>
      <c r="C36" s="1188"/>
      <c r="D36" s="1304"/>
      <c r="E36" s="1360">
        <f>$O$337</f>
        <v>1</v>
      </c>
      <c r="F36" s="2097" t="str">
        <f>$A$342</f>
        <v>The Applicant will be claiming the Priorty point for this application, Sparrow Pointe at Forest Hill. This is the only application the proposed Project Team has a direct or indirect interest.</v>
      </c>
      <c r="G36" s="2098"/>
      <c r="H36" s="2098"/>
      <c r="I36" s="2098"/>
      <c r="J36" s="2098"/>
      <c r="K36" s="2098"/>
      <c r="L36" s="2098"/>
      <c r="M36" s="2098"/>
      <c r="N36" s="2099"/>
      <c r="O36" s="2127"/>
      <c r="P36" s="2128"/>
      <c r="Q36" s="2204"/>
      <c r="R36" s="2205"/>
      <c r="S36" s="2205"/>
    </row>
    <row r="37" spans="1:19" s="43" customFormat="1" ht="10.5" customHeight="1">
      <c r="A37" s="1303" t="s">
        <v>4516</v>
      </c>
      <c r="B37" s="1033" t="s">
        <v>4517</v>
      </c>
      <c r="C37" s="1188"/>
      <c r="D37" s="1304"/>
      <c r="E37" s="1360">
        <f>$O$294</f>
        <v>3</v>
      </c>
      <c r="F37" s="2102" t="str">
        <f>$A$312</f>
        <v>The applicant is in the rural pool and there has not been a DCA awarded project within the City of Moultrie in the last Six (6) DCA funding cycles. The last awarded deal in the City of Moultrie was in 2008.</v>
      </c>
      <c r="G37" s="2103"/>
      <c r="H37" s="2103"/>
      <c r="I37" s="2103"/>
      <c r="J37" s="2103"/>
      <c r="K37" s="2103"/>
      <c r="L37" s="2103"/>
      <c r="M37" s="2103"/>
      <c r="N37" s="2104"/>
      <c r="O37" s="2127"/>
      <c r="P37" s="2128"/>
      <c r="Q37" s="2204"/>
      <c r="R37" s="2205"/>
      <c r="S37" s="2205"/>
    </row>
    <row r="38" spans="1:19" s="43" customFormat="1" ht="10.5" customHeight="1">
      <c r="A38" s="1309" t="s">
        <v>4149</v>
      </c>
      <c r="B38" s="1310" t="s">
        <v>4204</v>
      </c>
      <c r="C38" s="1311"/>
      <c r="D38" s="1312"/>
      <c r="E38" s="1431">
        <f>$O$346</f>
        <v>1</v>
      </c>
      <c r="F38" s="2131" t="str">
        <f>$A$358</f>
        <v>Please see Tab 35 of the application for the required GICH documentation. The proposed project has obtained the only letter issued by the GICH community, which identifies the boundaries and the proposed projects existence within the GICH community and is executed by the appropriate primary contact and the local government agreement letter from the Mayor related to the issuance of the letter.</v>
      </c>
      <c r="G38" s="2132"/>
      <c r="H38" s="2132"/>
      <c r="I38" s="2132"/>
      <c r="J38" s="2132"/>
      <c r="K38" s="2132"/>
      <c r="L38" s="2132"/>
      <c r="M38" s="2132"/>
      <c r="N38" s="2133"/>
      <c r="O38" s="2127"/>
      <c r="P38" s="2128"/>
      <c r="Q38" s="2204"/>
      <c r="R38" s="2205"/>
      <c r="S38" s="2205"/>
    </row>
    <row r="39" spans="1:19" s="43" customFormat="1" ht="10.5" customHeight="1">
      <c r="A39" s="1303" t="s">
        <v>4150</v>
      </c>
      <c r="B39" s="1033" t="s">
        <v>4205</v>
      </c>
      <c r="C39" s="1188"/>
      <c r="D39" s="1304"/>
      <c r="E39" s="1359">
        <f>$O$362</f>
        <v>0</v>
      </c>
      <c r="F39" s="2097" t="str">
        <f>$A$392</f>
        <v>The Applicant is not claiming points under favorable financing.</v>
      </c>
      <c r="G39" s="2098"/>
      <c r="H39" s="2098"/>
      <c r="I39" s="2098"/>
      <c r="J39" s="2098"/>
      <c r="K39" s="2098"/>
      <c r="L39" s="2098"/>
      <c r="M39" s="2098"/>
      <c r="N39" s="2099"/>
      <c r="O39" s="2127"/>
      <c r="P39" s="2128"/>
      <c r="Q39" s="2204"/>
      <c r="R39" s="2205"/>
      <c r="S39" s="2205"/>
    </row>
    <row r="40" spans="1:19" s="43" customFormat="1" ht="10.5" customHeight="1">
      <c r="A40" s="1303" t="s">
        <v>4148</v>
      </c>
      <c r="B40" s="1033" t="s">
        <v>4206</v>
      </c>
      <c r="C40" s="1188"/>
      <c r="D40" s="1304"/>
      <c r="E40" s="1359">
        <f>$O$396</f>
        <v>2</v>
      </c>
      <c r="F40" s="2097" t="str">
        <f>$A$410</f>
        <v>The Applicant agrees to accept Section 811 PBRA or other DCA-offered RA for up to 10% of the units for the purpose of providing Integrated Supportive Housing opportunities to Persons with Disabilities. The Applicant understands the requirements of the program.</v>
      </c>
      <c r="G40" s="2098"/>
      <c r="H40" s="2098"/>
      <c r="I40" s="2098"/>
      <c r="J40" s="2098"/>
      <c r="K40" s="2098"/>
      <c r="L40" s="2098"/>
      <c r="M40" s="2098"/>
      <c r="N40" s="2099"/>
      <c r="O40" s="2127"/>
      <c r="P40" s="2128"/>
      <c r="Q40" s="2204"/>
      <c r="R40" s="2205"/>
      <c r="S40" s="2205"/>
    </row>
    <row r="41" spans="1:19" s="43" customFormat="1" ht="10.5" customHeight="1">
      <c r="A41" s="1305" t="s">
        <v>4151</v>
      </c>
      <c r="B41" s="1306" t="s">
        <v>4207</v>
      </c>
      <c r="C41" s="1307"/>
      <c r="D41" s="1308"/>
      <c r="E41" s="1361">
        <f>$O$414</f>
        <v>0</v>
      </c>
      <c r="F41" s="2138" t="str">
        <f>$A$429</f>
        <v>The project is new construction and is not deemed historic or adaptive reuse.</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1998</v>
      </c>
      <c r="B45" s="964" t="s">
        <v>2641</v>
      </c>
      <c r="E45" s="58"/>
      <c r="G45" s="90"/>
      <c r="H45" s="2100" t="s">
        <v>3615</v>
      </c>
      <c r="I45" s="2100"/>
      <c r="J45" s="966">
        <f>'Part VI-Revenues &amp; Expenses'!$O$60</f>
        <v>50</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3394</v>
      </c>
      <c r="L46" s="1919"/>
      <c r="M46" s="941"/>
      <c r="N46" s="7"/>
      <c r="Q46" s="7"/>
      <c r="R46" s="391"/>
    </row>
    <row r="47" spans="1:19" s="105" customFormat="1" ht="13.5" customHeight="1">
      <c r="B47" s="2101"/>
      <c r="C47" s="2101"/>
      <c r="D47" s="2101"/>
      <c r="E47" s="2101"/>
      <c r="F47" s="2101"/>
      <c r="G47" s="1917" t="s">
        <v>3742</v>
      </c>
      <c r="H47" s="1917"/>
      <c r="I47" s="1917"/>
      <c r="J47" s="1917"/>
      <c r="K47" s="969" t="s">
        <v>3617</v>
      </c>
      <c r="L47" s="969" t="s">
        <v>3618</v>
      </c>
      <c r="M47" s="955">
        <v>2</v>
      </c>
      <c r="N47" s="404" t="s">
        <v>1998</v>
      </c>
      <c r="O47" s="972">
        <f>SUM(O48:O49)</f>
        <v>2</v>
      </c>
      <c r="P47" s="972">
        <f>SUM(P48:P49)</f>
        <v>0</v>
      </c>
    </row>
    <row r="48" spans="1:19" s="441" customFormat="1" ht="13.5" customHeight="1">
      <c r="A48" s="440"/>
      <c r="B48" s="611" t="s">
        <v>2001</v>
      </c>
      <c r="C48" s="612">
        <v>0.15</v>
      </c>
      <c r="D48" s="144" t="s">
        <v>3393</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2001</v>
      </c>
      <c r="O48" s="967">
        <f>IF(AND(K48 &gt;= $C$48,K48&lt;$C$49),$M48,0)</f>
        <v>0</v>
      </c>
      <c r="P48" s="967">
        <f>IF(AND(L48 &gt;= $C$48,L48&lt;$C$49),$M48,0)</f>
        <v>0</v>
      </c>
    </row>
    <row r="49" spans="1:18" s="441" customFormat="1" ht="13.5" customHeight="1">
      <c r="A49" s="619" t="s">
        <v>3364</v>
      </c>
      <c r="B49" s="611" t="s">
        <v>2003</v>
      </c>
      <c r="C49" s="612">
        <v>0.2</v>
      </c>
      <c r="D49" s="144" t="s">
        <v>3393</v>
      </c>
      <c r="H49" s="2926">
        <v>10</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2003</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2000</v>
      </c>
      <c r="B51" s="964" t="s">
        <v>3675</v>
      </c>
      <c r="E51" s="442"/>
      <c r="H51" s="1917" t="s">
        <v>3677</v>
      </c>
      <c r="I51" s="1917"/>
      <c r="M51" s="955">
        <v>3</v>
      </c>
      <c r="N51" s="166" t="s">
        <v>2000</v>
      </c>
      <c r="O51" s="972">
        <f>IF(AND(O52="Yes", O53="Yes"),$M$51,0)</f>
        <v>0</v>
      </c>
      <c r="P51" s="972">
        <f>IF(AND(P52="Yes", P53="Yes"),$M$51,0)</f>
        <v>0</v>
      </c>
    </row>
    <row r="52" spans="1:18" s="441" customFormat="1" ht="13.5" customHeight="1">
      <c r="A52" s="440"/>
      <c r="B52" s="611" t="s">
        <v>2001</v>
      </c>
      <c r="C52" s="612">
        <v>0.3</v>
      </c>
      <c r="D52" s="144" t="s">
        <v>3676</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2001</v>
      </c>
      <c r="O52" s="967" t="str">
        <f>IF(K52 &gt;= $C$52,"Yes","No")</f>
        <v>No</v>
      </c>
      <c r="P52" s="967" t="str">
        <f>IF(L52 &gt;= $C$52,"Yes","No")</f>
        <v>No</v>
      </c>
    </row>
    <row r="53" spans="1:18" s="441" customFormat="1" ht="13.5" customHeight="1">
      <c r="A53" s="619"/>
      <c r="B53" s="611" t="s">
        <v>2003</v>
      </c>
      <c r="C53" s="938" t="s">
        <v>3991</v>
      </c>
      <c r="E53" s="1006"/>
      <c r="F53" s="938"/>
      <c r="I53" s="970"/>
      <c r="J53" s="970"/>
      <c r="K53" s="970"/>
      <c r="L53" s="970"/>
      <c r="M53" s="970"/>
      <c r="N53" s="404" t="s">
        <v>2003</v>
      </c>
      <c r="O53" s="2928"/>
      <c r="P53" s="563"/>
    </row>
    <row r="54" spans="1:18" s="44" customFormat="1" ht="10.5" customHeight="1">
      <c r="A54" s="43"/>
      <c r="B54" s="100" t="s">
        <v>1879</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4144</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9" t="s">
        <v>3009</v>
      </c>
      <c r="P59" s="561"/>
    </row>
    <row r="60" spans="1:18" s="44" customFormat="1" ht="12" customHeight="1">
      <c r="A60" s="143" t="s">
        <v>1998</v>
      </c>
      <c r="B60" s="172" t="s">
        <v>1887</v>
      </c>
      <c r="C60" s="4"/>
      <c r="D60" s="4"/>
      <c r="F60" s="307"/>
      <c r="G60" s="179" t="s">
        <v>2735</v>
      </c>
      <c r="I60" s="2125" t="s">
        <v>4228</v>
      </c>
      <c r="J60" s="2125"/>
      <c r="K60" s="2125"/>
      <c r="L60" s="2125"/>
      <c r="M60" s="75">
        <v>10</v>
      </c>
      <c r="N60" s="181" t="s">
        <v>1998</v>
      </c>
      <c r="O60" s="2930">
        <v>10</v>
      </c>
      <c r="P60" s="1076"/>
      <c r="Q60" s="1090" t="str">
        <f>IF(OR($O60=$M60,$O60=0,$O60=""),"","*CHECK!*")</f>
        <v/>
      </c>
      <c r="R60" s="1244" t="s">
        <v>2723</v>
      </c>
    </row>
    <row r="61" spans="1:18" s="44" customFormat="1" ht="12.6" customHeight="1">
      <c r="A61" s="143" t="s">
        <v>2000</v>
      </c>
      <c r="B61" s="172" t="s">
        <v>3873</v>
      </c>
      <c r="D61" s="42"/>
      <c r="F61" s="407"/>
      <c r="G61" s="179" t="s">
        <v>4022</v>
      </c>
      <c r="I61" s="2125"/>
      <c r="J61" s="2125"/>
      <c r="K61" s="2125"/>
      <c r="L61" s="2125"/>
      <c r="M61" s="1589" t="s">
        <v>1250</v>
      </c>
      <c r="N61" s="484" t="s">
        <v>2000</v>
      </c>
      <c r="O61" s="2931"/>
      <c r="P61" s="1218"/>
      <c r="R61" s="1244" t="s">
        <v>2723</v>
      </c>
    </row>
    <row r="62" spans="1:18" s="44" customFormat="1" ht="11.25" customHeight="1" thickBot="1">
      <c r="A62" s="43"/>
      <c r="B62" s="1332" t="s">
        <v>3780</v>
      </c>
      <c r="C62" s="43"/>
      <c r="D62" s="49"/>
      <c r="E62" s="49"/>
      <c r="F62" s="49"/>
      <c r="G62" s="49"/>
      <c r="H62" s="37"/>
      <c r="I62" s="2126"/>
      <c r="J62" s="2126"/>
      <c r="K62" s="2126"/>
      <c r="L62" s="2126"/>
      <c r="M62" s="47"/>
      <c r="N62" s="63"/>
      <c r="O62" s="3"/>
      <c r="P62" s="1587"/>
    </row>
    <row r="63" spans="1:18" s="44" customFormat="1" ht="33.6" customHeight="1" thickTop="1" thickBot="1">
      <c r="A63" s="2932" t="s">
        <v>4651</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1879</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2647</v>
      </c>
      <c r="D67" s="42"/>
      <c r="K67" s="1089" t="s">
        <v>1893</v>
      </c>
      <c r="M67" s="1584">
        <v>6</v>
      </c>
      <c r="N67" s="484"/>
      <c r="O67" s="1194">
        <f>IF($J$68="Flexible",MIN($M67,MAX(O80,O84)),IF(AND($J$68="Rural",O89&gt;0),MIN($M89,O89),0))</f>
        <v>2</v>
      </c>
      <c r="P67" s="1194">
        <f>IF($J$68="Flexible",MIN($M67,MAX(P80,P84)),IF(AND($J$68="Rural",P89&gt;0),MIN($M89,P89),0))</f>
        <v>0</v>
      </c>
      <c r="Q67" s="112" t="s">
        <v>443</v>
      </c>
      <c r="R67" s="1985" t="s">
        <v>4134</v>
      </c>
      <c r="S67" s="1985"/>
      <c r="T67" s="1985"/>
      <c r="U67" s="1985"/>
    </row>
    <row r="68" spans="1:21" s="44" customFormat="1" ht="17.25" customHeight="1">
      <c r="A68" s="158"/>
      <c r="B68" s="113" t="s">
        <v>3994</v>
      </c>
      <c r="D68" s="42"/>
      <c r="H68" s="172" t="s">
        <v>2811</v>
      </c>
      <c r="I68" s="539"/>
      <c r="J68" s="537" t="str">
        <f>'Part I-Project Information'!$H$100</f>
        <v>Rural</v>
      </c>
      <c r="K68" s="49"/>
      <c r="M68" s="1584"/>
      <c r="N68" s="484"/>
      <c r="O68" s="1085" t="s">
        <v>3620</v>
      </c>
      <c r="P68" s="1085" t="s">
        <v>3621</v>
      </c>
      <c r="Q68" s="112"/>
      <c r="R68" s="1985"/>
      <c r="S68" s="1985"/>
      <c r="T68" s="1985"/>
      <c r="U68" s="1985"/>
    </row>
    <row r="69" spans="1:21" s="44" customFormat="1" ht="11.25" customHeight="1">
      <c r="A69" s="158"/>
      <c r="B69" s="499" t="s">
        <v>2001</v>
      </c>
      <c r="C69" s="56" t="s">
        <v>3619</v>
      </c>
      <c r="D69" s="42"/>
      <c r="H69" s="46"/>
      <c r="I69" s="50"/>
      <c r="J69" s="49"/>
      <c r="K69" s="49"/>
      <c r="M69" s="1584"/>
      <c r="N69" s="484"/>
      <c r="O69" s="2929" t="s">
        <v>3009</v>
      </c>
      <c r="P69" s="561"/>
      <c r="Q69" s="112"/>
      <c r="R69" s="1985"/>
      <c r="S69" s="1985"/>
      <c r="T69" s="1985"/>
      <c r="U69" s="1985"/>
    </row>
    <row r="70" spans="1:21" s="44" customFormat="1" ht="11.25" customHeight="1">
      <c r="A70" s="158"/>
      <c r="B70" s="499" t="s">
        <v>2003</v>
      </c>
      <c r="C70" s="56" t="s">
        <v>3992</v>
      </c>
      <c r="D70" s="42"/>
      <c r="H70" s="46"/>
      <c r="I70" s="50"/>
      <c r="J70" s="49"/>
      <c r="K70" s="49"/>
      <c r="N70" s="484"/>
      <c r="O70" s="2935" t="s">
        <v>3009</v>
      </c>
      <c r="P70" s="562"/>
      <c r="Q70" s="112"/>
      <c r="R70" s="1985"/>
      <c r="S70" s="1985"/>
      <c r="T70" s="1985"/>
      <c r="U70" s="1985"/>
    </row>
    <row r="71" spans="1:21" s="44" customFormat="1" ht="11.25" customHeight="1">
      <c r="A71" s="158"/>
      <c r="B71" s="499" t="s">
        <v>2550</v>
      </c>
      <c r="C71" s="56" t="s">
        <v>3993</v>
      </c>
      <c r="D71" s="42"/>
      <c r="H71" s="46"/>
      <c r="I71" s="50"/>
      <c r="J71" s="49"/>
      <c r="K71" s="49"/>
      <c r="N71" s="484"/>
      <c r="O71" s="2928" t="s">
        <v>3009</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4001</v>
      </c>
      <c r="D73" s="42"/>
      <c r="F73" s="2191" t="s">
        <v>3743</v>
      </c>
      <c r="G73" s="2191"/>
      <c r="H73" s="2191"/>
      <c r="I73" s="2191"/>
      <c r="J73" s="2191" t="s">
        <v>3744</v>
      </c>
      <c r="K73" s="2191"/>
      <c r="L73" s="2191"/>
      <c r="M73" s="2191"/>
      <c r="N73" s="484"/>
      <c r="O73" s="2199" t="s">
        <v>4141</v>
      </c>
      <c r="P73" s="2200"/>
      <c r="Q73" s="112"/>
      <c r="R73" s="1985"/>
      <c r="S73" s="1985"/>
      <c r="T73" s="1985"/>
      <c r="U73" s="1985"/>
    </row>
    <row r="74" spans="1:21" s="44" customFormat="1" ht="12.75" customHeight="1">
      <c r="A74" s="158"/>
      <c r="C74" s="512" t="s">
        <v>4000</v>
      </c>
      <c r="D74" s="649"/>
      <c r="E74" s="278"/>
      <c r="F74" s="2936">
        <v>31.169074999999999</v>
      </c>
      <c r="G74" s="2937"/>
      <c r="H74" s="2202"/>
      <c r="I74" s="2203"/>
      <c r="J74" s="2936">
        <v>-83.779539</v>
      </c>
      <c r="K74" s="2937"/>
      <c r="L74" s="2202"/>
      <c r="M74" s="2203"/>
      <c r="N74" s="484"/>
      <c r="Q74" s="112"/>
      <c r="R74" s="1985"/>
      <c r="S74" s="1985"/>
      <c r="T74" s="1985"/>
      <c r="U74" s="1985"/>
    </row>
    <row r="75" spans="1:21" s="44" customFormat="1" ht="12.75" customHeight="1">
      <c r="B75" s="1187"/>
      <c r="D75" s="1272" t="s">
        <v>4002</v>
      </c>
      <c r="E75" s="278"/>
      <c r="F75" s="2938"/>
      <c r="G75" s="2939"/>
      <c r="H75" s="2111"/>
      <c r="I75" s="2112"/>
      <c r="J75" s="2938"/>
      <c r="K75" s="2939"/>
      <c r="L75" s="2111"/>
      <c r="M75" s="2112"/>
      <c r="N75" s="484"/>
      <c r="O75" s="2940"/>
      <c r="P75" s="1281"/>
      <c r="Q75" s="112"/>
      <c r="R75" s="1985"/>
      <c r="S75" s="1985"/>
      <c r="T75" s="1985"/>
      <c r="U75" s="1985"/>
    </row>
    <row r="76" spans="1:21" s="44" customFormat="1" ht="12.75" customHeight="1">
      <c r="A76" s="2206" t="s">
        <v>4191</v>
      </c>
      <c r="B76" s="2206"/>
      <c r="C76" s="512" t="s">
        <v>4142</v>
      </c>
      <c r="D76" s="649"/>
      <c r="E76" s="278"/>
      <c r="F76" s="2941"/>
      <c r="G76" s="2942"/>
      <c r="H76" s="2113"/>
      <c r="I76" s="2114"/>
      <c r="J76" s="2941"/>
      <c r="K76" s="2942"/>
      <c r="L76" s="2113"/>
      <c r="M76" s="2114"/>
      <c r="N76" s="484"/>
      <c r="O76" s="2943"/>
      <c r="P76" s="1280"/>
      <c r="Q76" s="112"/>
      <c r="R76" s="1985"/>
      <c r="S76" s="1985"/>
      <c r="T76" s="1985"/>
      <c r="U76" s="1985"/>
    </row>
    <row r="77" spans="1:21" s="44" customFormat="1" ht="12.75" customHeight="1">
      <c r="A77" s="2206"/>
      <c r="B77" s="2206"/>
      <c r="D77" s="1272" t="s">
        <v>4140</v>
      </c>
      <c r="E77" s="278"/>
      <c r="F77" s="2944"/>
      <c r="G77" s="2945"/>
      <c r="H77" s="2189"/>
      <c r="I77" s="2190"/>
      <c r="J77" s="2944"/>
      <c r="K77" s="2945"/>
      <c r="L77" s="2189"/>
      <c r="M77" s="2190"/>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2802</v>
      </c>
      <c r="B79" s="108"/>
      <c r="D79" s="42"/>
      <c r="F79" s="62" t="s">
        <v>3781</v>
      </c>
      <c r="M79" s="1584"/>
      <c r="N79" s="1584"/>
      <c r="O79" s="1584"/>
      <c r="P79" s="1584"/>
      <c r="Q79" s="112"/>
      <c r="R79" s="1219"/>
      <c r="S79" s="1219"/>
      <c r="T79" s="1219"/>
      <c r="U79" s="1219"/>
    </row>
    <row r="80" spans="1:21" s="44" customFormat="1" ht="12.6" customHeight="1">
      <c r="A80" s="148" t="s">
        <v>1998</v>
      </c>
      <c r="B80" s="172" t="s">
        <v>3773</v>
      </c>
      <c r="D80" s="42"/>
      <c r="F80" s="46" t="s">
        <v>3886</v>
      </c>
      <c r="I80" s="2201" t="s">
        <v>4138</v>
      </c>
      <c r="J80" s="2201"/>
      <c r="K80" s="2201"/>
      <c r="L80" s="2201"/>
      <c r="M80" s="1584">
        <v>6</v>
      </c>
      <c r="N80" s="404" t="s">
        <v>1998</v>
      </c>
      <c r="O80" s="1088">
        <f>IF($J$68="Flexible",MIN($M80,O81+O82+O83),0)</f>
        <v>0</v>
      </c>
      <c r="P80" s="1088">
        <f>IF($J$68="Flexible",MIN($M80,P81+P82+P83),0)</f>
        <v>0</v>
      </c>
      <c r="Q80" s="112"/>
    </row>
    <row r="81" spans="1:18" s="427" customFormat="1" ht="23.25" customHeight="1">
      <c r="B81" s="456" t="s">
        <v>2001</v>
      </c>
      <c r="C81" s="1893" t="s">
        <v>3995</v>
      </c>
      <c r="D81" s="1893"/>
      <c r="E81" s="1893"/>
      <c r="F81" s="1893"/>
      <c r="G81" s="1893"/>
      <c r="H81" s="1893"/>
      <c r="I81" s="2201"/>
      <c r="J81" s="2201"/>
      <c r="K81" s="2201"/>
      <c r="L81" s="2201"/>
      <c r="M81" s="534">
        <v>5</v>
      </c>
      <c r="N81" s="499" t="s">
        <v>2001</v>
      </c>
      <c r="O81" s="2947"/>
      <c r="P81" s="913"/>
      <c r="Q81" s="1090" t="str">
        <f>IF(OR($O81=$M81,$O81=0,$O81=""),"","*CHECK!*")</f>
        <v/>
      </c>
      <c r="R81" s="1244" t="s">
        <v>2723</v>
      </c>
    </row>
    <row r="82" spans="1:18" s="427" customFormat="1" ht="12" customHeight="1">
      <c r="A82" s="619" t="s">
        <v>1365</v>
      </c>
      <c r="B82" s="456" t="s">
        <v>2003</v>
      </c>
      <c r="C82" s="405" t="s">
        <v>3996</v>
      </c>
      <c r="D82" s="405"/>
      <c r="E82" s="405"/>
      <c r="F82" s="405"/>
      <c r="G82" s="405"/>
      <c r="H82" s="405"/>
      <c r="I82" s="2201"/>
      <c r="J82" s="2201"/>
      <c r="K82" s="2201"/>
      <c r="L82" s="2201"/>
      <c r="M82" s="534">
        <v>4</v>
      </c>
      <c r="N82" s="499" t="s">
        <v>2003</v>
      </c>
      <c r="O82" s="2930"/>
      <c r="P82" s="1076"/>
      <c r="Q82" s="1090" t="str">
        <f>IF(OR($O82=$M82,$O82=0,$O82=""),"","*CHECK!*")</f>
        <v/>
      </c>
      <c r="R82" s="1244" t="s">
        <v>2723</v>
      </c>
    </row>
    <row r="83" spans="1:18" s="427" customFormat="1" ht="12" customHeight="1">
      <c r="B83" s="456" t="s">
        <v>2550</v>
      </c>
      <c r="C83" s="405" t="s">
        <v>3774</v>
      </c>
      <c r="D83" s="405"/>
      <c r="E83" s="405"/>
      <c r="F83" s="405"/>
      <c r="G83" s="484" t="s">
        <v>4139</v>
      </c>
      <c r="H83" s="1278" t="str">
        <f>'Part I-Project Information'!$H$78</f>
        <v>Family</v>
      </c>
      <c r="I83" s="2948" t="s">
        <v>4653</v>
      </c>
      <c r="J83" s="2949"/>
      <c r="K83" s="2949"/>
      <c r="L83" s="2950">
        <v>2295223552</v>
      </c>
      <c r="M83" s="534">
        <v>1</v>
      </c>
      <c r="N83" s="499" t="s">
        <v>2550</v>
      </c>
      <c r="O83" s="2931"/>
      <c r="P83" s="1218"/>
      <c r="Q83" s="1090" t="str">
        <f>IF(OR($O83=$M83,$O83=0,$O83=""),"","*CHECK!*")</f>
        <v/>
      </c>
      <c r="R83" s="1244" t="s">
        <v>2723</v>
      </c>
    </row>
    <row r="84" spans="1:18" s="427" customFormat="1" ht="12" customHeight="1">
      <c r="A84" s="148" t="s">
        <v>2000</v>
      </c>
      <c r="B84" s="1243" t="s">
        <v>3775</v>
      </c>
      <c r="C84" s="677"/>
      <c r="D84" s="677"/>
      <c r="E84" s="677"/>
      <c r="F84" s="1213" t="s">
        <v>3885</v>
      </c>
      <c r="I84" s="2951"/>
      <c r="J84" s="2952"/>
      <c r="K84" s="2952"/>
      <c r="L84" s="2953"/>
      <c r="M84" s="1034">
        <v>3</v>
      </c>
      <c r="N84" s="166" t="s">
        <v>2000</v>
      </c>
      <c r="O84" s="1088">
        <f>IF($J$68="Flexible",MIN($M84,O85+O86+O87),0)</f>
        <v>0</v>
      </c>
      <c r="P84" s="1088">
        <f>IF($J$68="Flexible",MIN($M84,P85+P86+P87),0)</f>
        <v>0</v>
      </c>
      <c r="Q84" s="535"/>
      <c r="R84" s="403"/>
    </row>
    <row r="85" spans="1:18" s="427" customFormat="1" ht="12" customHeight="1">
      <c r="A85" s="143"/>
      <c r="B85" s="456" t="s">
        <v>2001</v>
      </c>
      <c r="C85" s="2064" t="s">
        <v>3997</v>
      </c>
      <c r="D85" s="2064"/>
      <c r="E85" s="2064"/>
      <c r="F85" s="2064"/>
      <c r="G85" s="2064"/>
      <c r="H85" s="2185"/>
      <c r="I85" s="2954" t="s">
        <v>4654</v>
      </c>
      <c r="J85" s="2955"/>
      <c r="K85" s="2955"/>
      <c r="L85" s="2956"/>
      <c r="M85" s="534">
        <v>3</v>
      </c>
      <c r="N85" s="499" t="s">
        <v>2001</v>
      </c>
      <c r="O85" s="2947"/>
      <c r="P85" s="913"/>
      <c r="Q85" s="1090" t="str">
        <f>IF(OR($O85=$M85,$O85=0,$O85=""),"","*CHECK!*")</f>
        <v/>
      </c>
      <c r="R85" s="1244" t="s">
        <v>2723</v>
      </c>
    </row>
    <row r="86" spans="1:18" s="44" customFormat="1" ht="12" customHeight="1">
      <c r="A86" s="1214" t="s">
        <v>1365</v>
      </c>
      <c r="B86" s="456" t="s">
        <v>2003</v>
      </c>
      <c r="C86" s="2064" t="s">
        <v>3998</v>
      </c>
      <c r="D86" s="2064"/>
      <c r="E86" s="2064"/>
      <c r="F86" s="2064"/>
      <c r="G86" s="2064"/>
      <c r="H86" s="2185"/>
      <c r="I86" s="2957"/>
      <c r="J86" s="2958"/>
      <c r="K86" s="2958"/>
      <c r="L86" s="2959"/>
      <c r="M86" s="534">
        <v>2</v>
      </c>
      <c r="N86" s="499" t="s">
        <v>2003</v>
      </c>
      <c r="O86" s="2930"/>
      <c r="P86" s="1076"/>
      <c r="Q86" s="1090" t="str">
        <f>IF(OR($O86=$M86,$O86=0,$O86=""),"","*CHECK!*")</f>
        <v/>
      </c>
      <c r="R86" s="1244" t="s">
        <v>2723</v>
      </c>
    </row>
    <row r="87" spans="1:18" s="44" customFormat="1" ht="14.25" customHeight="1">
      <c r="A87" s="1214" t="s">
        <v>1365</v>
      </c>
      <c r="B87" s="456" t="s">
        <v>2550</v>
      </c>
      <c r="C87" s="1893" t="s">
        <v>3999</v>
      </c>
      <c r="D87" s="1893"/>
      <c r="E87" s="1893"/>
      <c r="F87" s="1893"/>
      <c r="G87" s="1893"/>
      <c r="H87" s="1899"/>
      <c r="I87" s="2954"/>
      <c r="J87" s="2955"/>
      <c r="K87" s="2955"/>
      <c r="L87" s="2956"/>
      <c r="M87" s="534">
        <v>1</v>
      </c>
      <c r="N87" s="499" t="s">
        <v>2550</v>
      </c>
      <c r="O87" s="2931"/>
      <c r="P87" s="1218"/>
      <c r="Q87" s="1090" t="str">
        <f>IF(OR($O87=$M87,$O87=0,$O87=""),"","*CHECK!*")</f>
        <v/>
      </c>
      <c r="R87" s="1244" t="s">
        <v>2723</v>
      </c>
    </row>
    <row r="88" spans="1:18" s="44" customFormat="1" ht="12.6" customHeight="1">
      <c r="A88" s="538" t="s">
        <v>2804</v>
      </c>
      <c r="B88" s="172"/>
      <c r="E88" s="42"/>
      <c r="I88" s="2960"/>
      <c r="J88" s="2961"/>
      <c r="K88" s="2961"/>
      <c r="L88" s="2962"/>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3">
        <v>2</v>
      </c>
      <c r="P89" s="911"/>
      <c r="Q89" s="1090" t="str">
        <f>IF(OR($O89=$M89,$O89=0,$O89=""),"","*CHECK!*")</f>
        <v/>
      </c>
      <c r="R89" s="1244" t="s">
        <v>2723</v>
      </c>
    </row>
    <row r="90" spans="1:18" s="44" customFormat="1" ht="12.6" customHeight="1">
      <c r="A90" s="37" t="s">
        <v>4143</v>
      </c>
      <c r="B90" s="172"/>
      <c r="E90" s="42"/>
      <c r="K90" s="49"/>
      <c r="M90" s="75"/>
      <c r="N90" s="75"/>
      <c r="O90" s="75"/>
      <c r="P90" s="75"/>
      <c r="Q90" s="391"/>
      <c r="R90" s="391"/>
    </row>
    <row r="91" spans="1:18" s="105" customFormat="1" ht="11.45" customHeight="1">
      <c r="A91" s="43"/>
      <c r="B91" s="100" t="s">
        <v>1879</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93" t="s">
        <v>4007</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4" t="s">
        <v>3796</v>
      </c>
      <c r="J96" s="2965"/>
      <c r="K96" s="2965"/>
      <c r="L96" s="2966"/>
      <c r="O96" s="2120"/>
      <c r="P96" s="2120"/>
    </row>
    <row r="97" spans="1:18" s="44" customFormat="1" ht="13.5" customHeight="1">
      <c r="B97" s="172" t="s">
        <v>2811</v>
      </c>
      <c r="G97" s="42"/>
      <c r="H97" s="42"/>
      <c r="I97" s="1215" t="str">
        <f>'Part I-Project Information'!$H$100</f>
        <v>Rural</v>
      </c>
      <c r="K97" s="28"/>
      <c r="M97" s="1584"/>
      <c r="N97" s="410"/>
      <c r="O97" s="2120"/>
      <c r="P97" s="2120"/>
    </row>
    <row r="98" spans="1:18" s="44" customFormat="1" ht="13.5" customHeight="1">
      <c r="B98" s="172" t="s">
        <v>4004</v>
      </c>
      <c r="G98" s="42"/>
      <c r="H98" s="42"/>
      <c r="I98" s="654"/>
      <c r="K98" s="28"/>
      <c r="M98" s="1584"/>
      <c r="N98" s="410"/>
      <c r="O98" s="2120"/>
      <c r="P98" s="2120"/>
    </row>
    <row r="99" spans="1:18" s="1190" customFormat="1" ht="13.5" customHeight="1">
      <c r="C99" s="1186" t="s">
        <v>4009</v>
      </c>
      <c r="I99" s="2967">
        <v>100</v>
      </c>
      <c r="J99" s="555"/>
      <c r="K99" s="403"/>
      <c r="O99" s="2120"/>
      <c r="P99" s="2120"/>
    </row>
    <row r="100" spans="1:18" s="1190" customFormat="1" ht="13.5" customHeight="1">
      <c r="C100" s="1186" t="s">
        <v>4010</v>
      </c>
      <c r="I100" s="2968">
        <v>123</v>
      </c>
      <c r="J100" s="557"/>
      <c r="K100" s="403"/>
      <c r="O100" s="2186" t="s">
        <v>4018</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1998</v>
      </c>
      <c r="B102" s="184" t="s">
        <v>3902</v>
      </c>
      <c r="D102" s="34"/>
      <c r="K102" s="2187" t="str">
        <f>IF(OR(AND(O102&gt;0,O103&gt;0),AND(O103&gt;0,O104&gt;0),AND(O102&gt;0,O104&gt;0)),"Choose A, B, or C.  See instructions.",IF(AND(O104&gt;0,O105&gt;0),"Choose A or B when choosing D.  See instructions.",""))</f>
        <v/>
      </c>
      <c r="L102" s="2187"/>
      <c r="M102" s="534">
        <v>2</v>
      </c>
      <c r="N102" s="484" t="s">
        <v>1998</v>
      </c>
      <c r="O102" s="2947"/>
      <c r="P102" s="913"/>
      <c r="Q102" s="1090" t="str">
        <f>IF(OR($O102=$M102,$O102=0,$O102=""),"","*CHECK!*")</f>
        <v/>
      </c>
      <c r="R102" s="1244" t="s">
        <v>2723</v>
      </c>
    </row>
    <row r="103" spans="1:18" ht="11.45" customHeight="1">
      <c r="A103" s="143" t="s">
        <v>2000</v>
      </c>
      <c r="B103" s="184" t="s">
        <v>312</v>
      </c>
      <c r="D103" s="34"/>
      <c r="E103" s="34"/>
      <c r="K103" s="2187"/>
      <c r="L103" s="2187"/>
      <c r="M103" s="534">
        <v>1</v>
      </c>
      <c r="N103" s="484" t="s">
        <v>2000</v>
      </c>
      <c r="O103" s="2930">
        <v>1</v>
      </c>
      <c r="P103" s="1076"/>
      <c r="Q103" s="1090" t="str">
        <f>IF(OR($O103=$M103,$O103=0,$O103=""),"","*CHECK!*")</f>
        <v/>
      </c>
      <c r="R103" s="1244" t="s">
        <v>2723</v>
      </c>
    </row>
    <row r="104" spans="1:18" ht="11.45" customHeight="1">
      <c r="A104" s="143" t="s">
        <v>757</v>
      </c>
      <c r="B104" s="184" t="s">
        <v>3903</v>
      </c>
      <c r="D104" s="34"/>
      <c r="E104" s="34"/>
      <c r="F104" s="34"/>
      <c r="K104" s="2187"/>
      <c r="L104" s="2187"/>
      <c r="M104" s="534">
        <v>3</v>
      </c>
      <c r="N104" s="484" t="s">
        <v>757</v>
      </c>
      <c r="O104" s="2930"/>
      <c r="P104" s="1076"/>
      <c r="Q104" s="1090" t="str">
        <f>IF(OR($O104=$M104,$O104=0,$O104=""),"","*CHECK!*")</f>
        <v/>
      </c>
      <c r="R104" s="1244" t="s">
        <v>2723</v>
      </c>
    </row>
    <row r="105" spans="1:18" ht="11.45" customHeight="1">
      <c r="A105" s="143" t="s">
        <v>2130</v>
      </c>
      <c r="B105" s="184" t="s">
        <v>3804</v>
      </c>
      <c r="D105" s="34"/>
      <c r="E105" s="34"/>
      <c r="F105" s="139" t="s">
        <v>4019</v>
      </c>
      <c r="J105" s="2969">
        <v>2</v>
      </c>
      <c r="K105" s="2187"/>
      <c r="L105" s="2187"/>
      <c r="M105" s="534">
        <v>1</v>
      </c>
      <c r="N105" s="484" t="s">
        <v>2130</v>
      </c>
      <c r="O105" s="2931">
        <v>1</v>
      </c>
      <c r="P105" s="1218"/>
      <c r="Q105" s="1090" t="str">
        <f>IF(OR($O105=$M105,$O105=0,$O105=""),"","*CHECK!*")</f>
        <v/>
      </c>
      <c r="R105" s="1244" t="s">
        <v>2723</v>
      </c>
    </row>
    <row r="106" spans="1:18" s="105" customFormat="1" ht="11.45" customHeight="1" thickBot="1">
      <c r="A106" s="43"/>
      <c r="B106" s="1332" t="s">
        <v>3780</v>
      </c>
      <c r="C106" s="43"/>
      <c r="D106" s="49"/>
      <c r="E106" s="49"/>
      <c r="F106" s="49"/>
      <c r="G106" s="49"/>
      <c r="K106" s="37"/>
      <c r="M106" s="47"/>
      <c r="N106" s="6"/>
      <c r="O106" s="3"/>
      <c r="P106" s="1584"/>
    </row>
    <row r="107" spans="1:18" s="44" customFormat="1" ht="29.25" customHeight="1" thickTop="1" thickBot="1">
      <c r="A107" s="2970" t="s">
        <v>4680</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1879</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4020</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1998</v>
      </c>
      <c r="B113" s="921" t="s">
        <v>4021</v>
      </c>
      <c r="C113" s="95"/>
      <c r="D113" s="119"/>
      <c r="E113" s="430" t="s">
        <v>4146</v>
      </c>
      <c r="G113" s="116"/>
      <c r="I113" s="484" t="s">
        <v>4139</v>
      </c>
      <c r="J113" s="1278" t="str">
        <f>'Part I-Project Information'!$H$78</f>
        <v>Family</v>
      </c>
      <c r="K113" s="42"/>
      <c r="L113" s="391" t="str">
        <f>IF(OR($O113=$M113,$O113=0,$O113=""),"","* * Check Score! * *")</f>
        <v/>
      </c>
      <c r="M113" s="75">
        <v>3</v>
      </c>
      <c r="N113" s="484" t="s">
        <v>1998</v>
      </c>
      <c r="O113" s="2973">
        <v>3</v>
      </c>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2000</v>
      </c>
      <c r="B115" s="921" t="s">
        <v>4023</v>
      </c>
      <c r="C115" s="95"/>
      <c r="D115" s="1191"/>
      <c r="E115" s="1430" t="s">
        <v>4255</v>
      </c>
      <c r="G115" s="116"/>
      <c r="I115" s="1350"/>
      <c r="J115" s="42"/>
      <c r="L115" s="391" t="str">
        <f>IF(OR($O115&lt;=$M115,$O115=0,$O115=""),"","* * Check Score! * *")</f>
        <v/>
      </c>
      <c r="M115" s="1040">
        <v>3</v>
      </c>
      <c r="N115" s="484" t="s">
        <v>2000</v>
      </c>
      <c r="O115" s="66">
        <f>MIN($M$115,O119+O137)</f>
        <v>0</v>
      </c>
      <c r="P115" s="66">
        <f>MIN($M$115,P119+P137)</f>
        <v>0</v>
      </c>
      <c r="Q115" s="1169"/>
      <c r="R115" s="1169"/>
      <c r="S115" s="1169"/>
      <c r="T115" s="1169"/>
    </row>
    <row r="116" spans="1:20" s="37" customFormat="1" ht="10.5" customHeight="1">
      <c r="A116" s="65"/>
      <c r="B116" s="954" t="s">
        <v>4176</v>
      </c>
      <c r="C116" s="956"/>
      <c r="D116" s="1352"/>
      <c r="E116" s="1352"/>
      <c r="F116" s="1352"/>
      <c r="H116" s="2974" t="s">
        <v>1784</v>
      </c>
      <c r="I116" s="1352"/>
      <c r="J116" s="1352"/>
      <c r="K116" s="1352"/>
      <c r="L116" s="1352"/>
      <c r="M116" s="1593"/>
      <c r="N116" s="181"/>
      <c r="Q116" s="1169"/>
      <c r="R116" s="1169"/>
      <c r="S116" s="1169"/>
      <c r="T116" s="1169"/>
    </row>
    <row r="117" spans="1:20" s="37" customFormat="1" ht="10.5" customHeight="1">
      <c r="A117" s="65"/>
      <c r="C117" s="1291" t="s">
        <v>4177</v>
      </c>
      <c r="D117" s="2975"/>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2001</v>
      </c>
      <c r="C119" s="172" t="s">
        <v>4024</v>
      </c>
      <c r="D119" s="95"/>
      <c r="F119" s="53"/>
      <c r="G119" s="53"/>
      <c r="H119" s="95"/>
      <c r="I119" s="95"/>
      <c r="J119" s="95"/>
      <c r="K119" s="95"/>
      <c r="L119" s="391" t="str">
        <f>IF(OR($O119=$M119,$O119=0,$O119=""),"","* * Check Score! * *")</f>
        <v/>
      </c>
      <c r="M119" s="1123">
        <v>2</v>
      </c>
      <c r="N119" s="1189" t="s">
        <v>2001</v>
      </c>
      <c r="O119" s="2973"/>
      <c r="P119" s="1231"/>
      <c r="Q119" s="1090" t="str">
        <f>IF(OR($O119=$M119,$O119=0,$O119=""),"","*CHECK!*")</f>
        <v/>
      </c>
      <c r="R119" s="1244" t="s">
        <v>2723</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978"/>
      <c r="P120" s="566"/>
      <c r="Q120" s="1169"/>
      <c r="R120" s="1169"/>
      <c r="S120" s="1169"/>
      <c r="T120" s="1169"/>
    </row>
    <row r="121" spans="1:20" s="105" customFormat="1" ht="10.5" customHeight="1">
      <c r="A121" s="185"/>
      <c r="B121" s="942"/>
      <c r="C121" s="53" t="s">
        <v>4026</v>
      </c>
      <c r="D121" s="179" t="s">
        <v>4147</v>
      </c>
      <c r="F121" s="53"/>
      <c r="G121" s="53"/>
      <c r="H121" s="2979"/>
      <c r="I121" s="2979"/>
      <c r="J121" s="2979"/>
      <c r="K121" s="2979"/>
      <c r="L121" s="2979"/>
      <c r="M121" s="2979"/>
      <c r="N121" s="2979"/>
      <c r="O121" s="2979"/>
      <c r="P121" s="2979"/>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3809</v>
      </c>
      <c r="O122" s="2980"/>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593"/>
      <c r="N123" s="401" t="s">
        <v>3810</v>
      </c>
      <c r="O123" s="2928"/>
      <c r="P123" s="563"/>
      <c r="Q123" s="1169"/>
      <c r="R123" s="1169"/>
      <c r="S123" s="1169"/>
      <c r="T123" s="1169"/>
    </row>
    <row r="124" spans="1:20" s="56" customFormat="1" ht="10.5" customHeight="1">
      <c r="A124" s="65"/>
      <c r="C124" s="56" t="s">
        <v>4174</v>
      </c>
      <c r="D124" s="430"/>
      <c r="E124" s="53"/>
      <c r="F124" s="53"/>
      <c r="G124" s="53"/>
      <c r="H124" s="430"/>
      <c r="J124" s="430"/>
      <c r="L124" s="1902" t="s">
        <v>3846</v>
      </c>
      <c r="M124" s="1902"/>
      <c r="N124" s="1902"/>
      <c r="O124" s="2192" t="s">
        <v>3845</v>
      </c>
      <c r="P124" s="2192"/>
      <c r="Q124" s="53"/>
    </row>
    <row r="125" spans="1:20" s="56" customFormat="1" ht="10.5" customHeight="1">
      <c r="A125" s="65"/>
      <c r="B125" s="390"/>
      <c r="C125" s="2981"/>
      <c r="D125" s="2982"/>
      <c r="E125" s="2982"/>
      <c r="F125" s="2982"/>
      <c r="G125" s="2982"/>
      <c r="H125" s="2982"/>
      <c r="I125" s="2982"/>
      <c r="J125" s="2982"/>
      <c r="K125" s="2983"/>
      <c r="L125" s="2984" t="s">
        <v>3727</v>
      </c>
      <c r="M125" s="2984"/>
      <c r="N125" s="2984"/>
      <c r="O125" s="2985"/>
      <c r="P125" s="2985"/>
      <c r="Q125" s="1207" t="str">
        <f>IF(O125&gt;15, "Too much!","")</f>
        <v/>
      </c>
    </row>
    <row r="126" spans="1:20" s="56" customFormat="1" ht="10.5" customHeight="1">
      <c r="A126" s="65"/>
      <c r="B126" s="402"/>
      <c r="C126" s="2986"/>
      <c r="D126" s="2987"/>
      <c r="E126" s="2987"/>
      <c r="F126" s="2987"/>
      <c r="G126" s="2987"/>
      <c r="H126" s="2987"/>
      <c r="I126" s="2987"/>
      <c r="J126" s="2987"/>
      <c r="K126" s="2988"/>
      <c r="L126" s="2989" t="s">
        <v>3727</v>
      </c>
      <c r="M126" s="2989"/>
      <c r="N126" s="2989"/>
      <c r="O126" s="2990"/>
      <c r="P126" s="2990"/>
      <c r="Q126" s="1207" t="str">
        <f>IF(O126&gt;15, "Too much!","")</f>
        <v/>
      </c>
    </row>
    <row r="127" spans="1:20" s="56" customFormat="1" ht="10.5" customHeight="1">
      <c r="A127" s="65"/>
      <c r="B127" s="390"/>
      <c r="C127" s="2986"/>
      <c r="D127" s="2987"/>
      <c r="E127" s="2987"/>
      <c r="F127" s="2987"/>
      <c r="G127" s="2987"/>
      <c r="H127" s="2987"/>
      <c r="I127" s="2987"/>
      <c r="J127" s="2987"/>
      <c r="K127" s="2988"/>
      <c r="L127" s="2989" t="s">
        <v>3727</v>
      </c>
      <c r="M127" s="2989"/>
      <c r="N127" s="2989"/>
      <c r="O127" s="2990"/>
      <c r="P127" s="2990"/>
      <c r="Q127" s="1207" t="str">
        <f>IF(O127&gt;15, "Too much!","")</f>
        <v/>
      </c>
    </row>
    <row r="128" spans="1:20" s="56" customFormat="1" ht="10.5" customHeight="1">
      <c r="A128" s="65"/>
      <c r="B128" s="401"/>
      <c r="C128" s="2991"/>
      <c r="D128" s="2992"/>
      <c r="E128" s="2992"/>
      <c r="F128" s="2992"/>
      <c r="G128" s="2992"/>
      <c r="H128" s="2992"/>
      <c r="I128" s="2992"/>
      <c r="J128" s="2992"/>
      <c r="K128" s="2993"/>
      <c r="L128" s="2994" t="s">
        <v>3727</v>
      </c>
      <c r="M128" s="2994"/>
      <c r="N128" s="2994"/>
      <c r="O128" s="2995"/>
      <c r="P128" s="2995"/>
      <c r="Q128" s="1207" t="str">
        <f>IF(O128&gt;15, "Too much!","")</f>
        <v/>
      </c>
    </row>
    <row r="129" spans="1:21" s="105" customFormat="1" ht="10.5" customHeight="1">
      <c r="B129" s="942"/>
      <c r="C129" s="53" t="s">
        <v>4027</v>
      </c>
      <c r="D129" s="37" t="s">
        <v>4030</v>
      </c>
      <c r="E129" s="53"/>
      <c r="F129" s="53"/>
      <c r="G129" s="53"/>
      <c r="H129" s="95"/>
      <c r="I129" s="95"/>
      <c r="J129" s="95"/>
      <c r="K129" s="95"/>
      <c r="L129" s="95"/>
      <c r="M129" s="95"/>
      <c r="N129" s="1102" t="s">
        <v>3809</v>
      </c>
      <c r="O129" s="2929"/>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3810</v>
      </c>
      <c r="O130" s="2928"/>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593"/>
      <c r="Q131" s="53"/>
      <c r="R131" s="56"/>
      <c r="S131" s="56"/>
      <c r="T131" s="56"/>
      <c r="U131" s="56"/>
    </row>
    <row r="132" spans="1:21" s="56" customFormat="1" ht="10.5" customHeight="1">
      <c r="A132" s="65"/>
      <c r="B132" s="65"/>
      <c r="C132" s="956" t="s">
        <v>4208</v>
      </c>
      <c r="D132" s="65"/>
      <c r="E132" s="65"/>
      <c r="F132" s="65"/>
      <c r="G132" s="2929"/>
      <c r="H132" s="561"/>
      <c r="I132" s="956" t="s">
        <v>4211</v>
      </c>
      <c r="L132" s="65"/>
      <c r="M132" s="65"/>
      <c r="N132" s="65"/>
      <c r="O132" s="2929"/>
      <c r="P132" s="561"/>
      <c r="Q132" s="53"/>
    </row>
    <row r="133" spans="1:21" s="56" customFormat="1" ht="10.5" customHeight="1">
      <c r="A133" s="65"/>
      <c r="B133" s="65"/>
      <c r="C133" s="956" t="s">
        <v>4541</v>
      </c>
      <c r="D133" s="65"/>
      <c r="E133" s="65"/>
      <c r="F133" s="65"/>
      <c r="G133" s="2935"/>
      <c r="H133" s="562"/>
      <c r="I133" s="53" t="s">
        <v>4212</v>
      </c>
      <c r="L133" s="65"/>
      <c r="M133" s="65"/>
      <c r="N133" s="65"/>
      <c r="O133" s="2935"/>
      <c r="P133" s="562"/>
      <c r="Q133" s="53"/>
    </row>
    <row r="134" spans="1:21" s="56" customFormat="1" ht="10.5" customHeight="1">
      <c r="A134" s="65"/>
      <c r="B134" s="65"/>
      <c r="C134" s="956" t="s">
        <v>4210</v>
      </c>
      <c r="D134" s="65"/>
      <c r="E134" s="65"/>
      <c r="F134" s="65"/>
      <c r="G134" s="2935"/>
      <c r="H134" s="562"/>
      <c r="I134" s="956" t="s">
        <v>4213</v>
      </c>
      <c r="L134" s="65"/>
      <c r="M134" s="65"/>
      <c r="N134" s="65"/>
      <c r="O134" s="2935"/>
      <c r="P134" s="562"/>
      <c r="Q134" s="53"/>
    </row>
    <row r="135" spans="1:21" s="56" customFormat="1" ht="10.5" customHeight="1">
      <c r="A135" s="65"/>
      <c r="B135" s="65"/>
      <c r="C135" s="2996" t="s">
        <v>4214</v>
      </c>
      <c r="D135" s="2997"/>
      <c r="E135" s="2997"/>
      <c r="F135" s="2998"/>
      <c r="G135" s="2928"/>
      <c r="H135" s="1292"/>
      <c r="I135" s="2996" t="s">
        <v>4215</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2003</v>
      </c>
      <c r="C137" s="1131" t="s">
        <v>3847</v>
      </c>
      <c r="D137" s="144"/>
      <c r="F137" s="144"/>
      <c r="G137" s="144"/>
      <c r="H137" s="144"/>
      <c r="I137" s="144"/>
      <c r="J137" s="144"/>
      <c r="K137" s="144"/>
      <c r="L137" s="391" t="str">
        <f>IF(OR($O137=$M137,$O137=0,$O137=""),"","* * Check Score! * *")</f>
        <v/>
      </c>
      <c r="M137" s="628">
        <v>1</v>
      </c>
      <c r="N137" s="1189" t="s">
        <v>2003</v>
      </c>
      <c r="O137" s="2973"/>
      <c r="P137" s="1231"/>
      <c r="Q137" s="1090" t="str">
        <f>IF(OR($O137=$M137,$O137=0,$O137=""),"","*CHECK!*")</f>
        <v/>
      </c>
      <c r="R137" s="1244" t="s">
        <v>2723</v>
      </c>
      <c r="S137" s="1169"/>
      <c r="T137" s="1169"/>
      <c r="U137" s="1169"/>
    </row>
    <row r="138" spans="1:21" s="37" customFormat="1" ht="10.5" customHeight="1">
      <c r="A138" s="65"/>
      <c r="C138" s="53" t="s">
        <v>4032</v>
      </c>
      <c r="D138" s="1352"/>
      <c r="E138" s="1352"/>
      <c r="F138" s="1352"/>
      <c r="G138" s="1352"/>
      <c r="H138" s="1352"/>
      <c r="I138" s="1352"/>
      <c r="J138" s="1352"/>
      <c r="K138" s="1352"/>
      <c r="L138" s="1352"/>
      <c r="M138" s="1593"/>
      <c r="N138" s="53"/>
      <c r="O138" s="2978"/>
      <c r="P138" s="566"/>
      <c r="Q138" s="53"/>
      <c r="R138" s="1169"/>
      <c r="S138" s="1169"/>
      <c r="T138" s="1169"/>
      <c r="U138" s="1169"/>
    </row>
    <row r="139" spans="1:21" s="37" customFormat="1" ht="10.5" customHeight="1">
      <c r="A139" s="65"/>
      <c r="B139" s="942"/>
      <c r="C139" s="53" t="s">
        <v>4033</v>
      </c>
      <c r="D139" s="1352"/>
      <c r="E139" s="1352"/>
      <c r="F139" s="1352"/>
      <c r="G139" s="956" t="s">
        <v>4034</v>
      </c>
      <c r="I139" s="1352"/>
      <c r="J139" s="1352"/>
      <c r="K139" s="1352"/>
      <c r="L139" s="1352"/>
      <c r="M139" s="67" t="s">
        <v>2450</v>
      </c>
      <c r="N139" s="401" t="s">
        <v>3809</v>
      </c>
      <c r="O139" s="2980"/>
      <c r="P139" s="1005"/>
      <c r="Q139" s="53"/>
      <c r="R139" s="1169"/>
      <c r="S139" s="1169"/>
      <c r="T139" s="1169"/>
      <c r="U139" s="1169"/>
    </row>
    <row r="140" spans="1:21" s="37" customFormat="1" ht="10.5" customHeight="1">
      <c r="A140" s="65"/>
      <c r="B140" s="389"/>
      <c r="D140" s="1352"/>
      <c r="E140" s="1352"/>
      <c r="F140" s="1352"/>
      <c r="G140" s="956" t="s">
        <v>4035</v>
      </c>
      <c r="I140" s="1352"/>
      <c r="J140" s="1352"/>
      <c r="K140" s="1352"/>
      <c r="L140" s="1352"/>
      <c r="M140" s="1593"/>
      <c r="N140" s="1102" t="s">
        <v>3810</v>
      </c>
      <c r="O140" s="2935"/>
      <c r="P140" s="562"/>
      <c r="Q140" s="53"/>
      <c r="R140" s="1169"/>
      <c r="S140" s="1169"/>
      <c r="T140" s="1169"/>
      <c r="U140" s="1169"/>
    </row>
    <row r="141" spans="1:21" s="37" customFormat="1" ht="10.5" customHeight="1">
      <c r="A141" s="67"/>
      <c r="B141" s="389"/>
      <c r="D141" s="1352"/>
      <c r="E141" s="1352"/>
      <c r="F141" s="1352"/>
      <c r="G141" s="956" t="s">
        <v>4036</v>
      </c>
      <c r="I141" s="1352"/>
      <c r="J141" s="1352"/>
      <c r="K141" s="1352"/>
      <c r="L141" s="1352"/>
      <c r="M141" s="1593"/>
      <c r="N141" s="401" t="s">
        <v>3811</v>
      </c>
      <c r="O141" s="2935"/>
      <c r="P141" s="562"/>
      <c r="Q141" s="53"/>
      <c r="R141" s="1169"/>
      <c r="S141" s="1169"/>
      <c r="T141" s="1169"/>
      <c r="U141" s="1169"/>
    </row>
    <row r="142" spans="1:21" s="37" customFormat="1" ht="10.5" customHeight="1">
      <c r="A142" s="65"/>
      <c r="B142" s="389"/>
      <c r="D142" s="1352"/>
      <c r="E142" s="1352"/>
      <c r="F142" s="1352"/>
      <c r="G142" s="956" t="s">
        <v>4037</v>
      </c>
      <c r="I142" s="1352"/>
      <c r="J142" s="1352"/>
      <c r="K142" s="1352"/>
      <c r="L142" s="1352"/>
      <c r="M142" s="1593"/>
      <c r="N142" s="401" t="s">
        <v>3813</v>
      </c>
      <c r="O142" s="2935"/>
      <c r="P142" s="562"/>
      <c r="Q142" s="53"/>
      <c r="R142" s="1169"/>
      <c r="S142" s="1169"/>
      <c r="T142" s="1169"/>
      <c r="U142" s="1169"/>
    </row>
    <row r="143" spans="1:21" s="37" customFormat="1" ht="10.5" customHeight="1">
      <c r="A143" s="65"/>
      <c r="B143" s="389"/>
      <c r="D143" s="1352"/>
      <c r="E143" s="1352"/>
      <c r="F143" s="1352"/>
      <c r="G143" s="956" t="s">
        <v>4038</v>
      </c>
      <c r="I143" s="1352"/>
      <c r="J143" s="1352"/>
      <c r="K143" s="1352"/>
      <c r="L143" s="1352"/>
      <c r="M143" s="1593"/>
      <c r="N143" s="1102" t="s">
        <v>3814</v>
      </c>
      <c r="O143" s="2928"/>
      <c r="P143" s="563"/>
      <c r="Q143" s="53"/>
    </row>
    <row r="144" spans="1:21" s="37" customFormat="1" ht="10.5" customHeight="1">
      <c r="A144" s="65"/>
      <c r="B144" s="942"/>
      <c r="C144" s="956" t="s">
        <v>4178</v>
      </c>
      <c r="D144" s="1352"/>
      <c r="E144" s="1352"/>
      <c r="F144" s="1352"/>
      <c r="G144" s="1352"/>
      <c r="H144" s="1352"/>
      <c r="I144" s="1352"/>
      <c r="J144" s="1352"/>
      <c r="K144" s="1352"/>
      <c r="L144" s="1352"/>
      <c r="M144" s="67"/>
      <c r="N144" s="67" t="s">
        <v>2451</v>
      </c>
      <c r="O144" s="2999"/>
      <c r="P144" s="560"/>
      <c r="Q144" s="53"/>
    </row>
    <row r="145" spans="1:18" s="56" customFormat="1" ht="10.5" customHeight="1">
      <c r="A145" s="65"/>
      <c r="B145" s="456"/>
      <c r="C145" s="56" t="s">
        <v>3862</v>
      </c>
      <c r="D145" s="430"/>
      <c r="E145" s="53"/>
      <c r="F145" s="53"/>
      <c r="G145" s="56" t="s">
        <v>4180</v>
      </c>
      <c r="H145" s="430"/>
      <c r="M145" s="59"/>
      <c r="N145" s="59"/>
      <c r="O145" s="59"/>
      <c r="P145" s="59"/>
      <c r="Q145" s="53"/>
    </row>
    <row r="146" spans="1:18" s="56" customFormat="1" ht="10.5" customHeight="1">
      <c r="A146" s="65"/>
      <c r="B146" s="390"/>
      <c r="C146" s="2981"/>
      <c r="D146" s="2982"/>
      <c r="E146" s="2982"/>
      <c r="F146" s="2983"/>
      <c r="G146" s="2981"/>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101" t="s">
        <v>4216</v>
      </c>
      <c r="B148" s="2101"/>
      <c r="C148" s="2986"/>
      <c r="D148" s="2987"/>
      <c r="E148" s="2987"/>
      <c r="F148" s="2988"/>
      <c r="G148" s="2986"/>
      <c r="H148" s="2987"/>
      <c r="I148" s="2987"/>
      <c r="J148" s="2987"/>
      <c r="K148" s="2987"/>
      <c r="L148" s="2987"/>
      <c r="M148" s="2987"/>
      <c r="N148" s="2987"/>
      <c r="O148" s="2987"/>
      <c r="P148" s="2988"/>
      <c r="Q148" s="53"/>
    </row>
    <row r="149" spans="1:18" s="56" customFormat="1" ht="10.5" customHeight="1">
      <c r="A149" s="2101"/>
      <c r="B149" s="2101"/>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4003</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1998</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3000" t="s">
        <v>3009</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4218</v>
      </c>
      <c r="C158" s="2049"/>
      <c r="D158" s="2049"/>
      <c r="E158" s="53" t="s">
        <v>3853</v>
      </c>
      <c r="F158" s="105"/>
      <c r="G158" s="53"/>
      <c r="H158" s="105"/>
      <c r="I158" s="2975" t="s">
        <v>4655</v>
      </c>
      <c r="J158" s="2976"/>
      <c r="K158" s="2976"/>
      <c r="L158" s="2977"/>
    </row>
    <row r="159" spans="1:18" s="44" customFormat="1" ht="11.25" customHeight="1">
      <c r="A159" s="143"/>
      <c r="B159" s="2049"/>
      <c r="C159" s="2049"/>
      <c r="D159" s="2049"/>
      <c r="E159" s="41" t="s">
        <v>3855</v>
      </c>
      <c r="F159" s="391"/>
      <c r="G159" s="105"/>
      <c r="H159" s="105"/>
      <c r="I159" s="41"/>
      <c r="J159" s="1602"/>
      <c r="K159" s="1602"/>
      <c r="L159" s="1602"/>
      <c r="M159" s="105"/>
      <c r="N159" s="1222"/>
      <c r="O159" s="3000" t="s">
        <v>4652</v>
      </c>
      <c r="P159" s="559"/>
      <c r="Q159" s="138"/>
    </row>
    <row r="160" spans="1:18" s="44" customFormat="1" ht="12" customHeight="1">
      <c r="A160" s="43"/>
      <c r="C160" s="1592"/>
      <c r="D160" s="1592"/>
      <c r="E160" s="53" t="s">
        <v>2922</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4"/>
      <c r="H161" s="2195" t="s">
        <v>3851</v>
      </c>
      <c r="I161" s="2106" t="s">
        <v>3896</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3418</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2450</v>
      </c>
      <c r="B163" s="626" t="s">
        <v>4041</v>
      </c>
      <c r="D163" s="3001"/>
      <c r="E163" s="3002"/>
      <c r="F163" s="3003"/>
      <c r="G163" s="3004"/>
      <c r="H163" s="3005"/>
      <c r="I163" s="3006"/>
      <c r="J163" s="3007"/>
      <c r="K163" s="3007"/>
      <c r="L163" s="3008"/>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2451</v>
      </c>
      <c r="B164" s="626" t="s">
        <v>4217</v>
      </c>
      <c r="D164" s="3009"/>
      <c r="E164" s="3010"/>
      <c r="F164" s="3011"/>
      <c r="G164" s="3012"/>
      <c r="H164" s="3013"/>
      <c r="I164" s="3014"/>
      <c r="J164" s="3015"/>
      <c r="K164" s="3015"/>
      <c r="L164" s="3016"/>
      <c r="M164" s="2007" t="str">
        <f>IF(I164+J164+K164+L164=0,"",AVERAGE(I164,J164,K164,L164))</f>
        <v/>
      </c>
      <c r="N164" s="2008"/>
      <c r="O164" s="663" t="str">
        <f>IF(M164="","",IF(M164&gt;Q164,"Yes",IF(M164&lt;Q164,"No","")))</f>
        <v/>
      </c>
      <c r="Q164" s="2076">
        <v>72.099999999999994</v>
      </c>
      <c r="R164" s="2077"/>
      <c r="S164" s="55"/>
    </row>
    <row r="165" spans="1:24" s="44" customFormat="1" ht="13.5" customHeight="1">
      <c r="A165" s="390" t="s">
        <v>2452</v>
      </c>
      <c r="B165" s="626" t="s">
        <v>4039</v>
      </c>
      <c r="D165" s="3017" t="s">
        <v>4656</v>
      </c>
      <c r="E165" s="3018"/>
      <c r="F165" s="3019"/>
      <c r="G165" s="3020" t="s">
        <v>4657</v>
      </c>
      <c r="H165" s="3021" t="s">
        <v>3012</v>
      </c>
      <c r="I165" s="3022"/>
      <c r="J165" s="3023">
        <v>85.7</v>
      </c>
      <c r="K165" s="3023">
        <v>76.3</v>
      </c>
      <c r="L165" s="3024">
        <v>76.8</v>
      </c>
      <c r="M165" s="2109">
        <f>IF(I165+J165+K165+L165=0,"",AVERAGE(I165,J165,K165,L165))</f>
        <v>79.600000000000009</v>
      </c>
      <c r="N165" s="2110"/>
      <c r="O165" s="664" t="str">
        <f>IF(M165="","",IF(M165&gt;Q165,"Yes",IF(M165&lt;Q165,"No","")))</f>
        <v>Yes</v>
      </c>
      <c r="Q165" s="2076">
        <v>73.3</v>
      </c>
      <c r="R165" s="2077"/>
      <c r="S165" s="55"/>
    </row>
    <row r="166" spans="1:24" s="44" customFormat="1" ht="1.5" customHeight="1">
      <c r="A166" s="390"/>
      <c r="B166" s="626"/>
    </row>
    <row r="167" spans="1:24" s="44" customFormat="1" ht="13.5" customHeight="1">
      <c r="A167" s="401" t="s">
        <v>2453</v>
      </c>
      <c r="B167" s="1032" t="s">
        <v>4041</v>
      </c>
      <c r="D167" s="443" t="str">
        <f>IF(D163="","",D163)</f>
        <v/>
      </c>
      <c r="G167" s="544" t="str">
        <f t="shared" ref="G167:H169" si="0">IF(G163="","",G163)</f>
        <v/>
      </c>
      <c r="H167" s="544" t="str">
        <f t="shared" si="0"/>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2454</v>
      </c>
      <c r="B168" s="1032" t="s">
        <v>4040</v>
      </c>
      <c r="D168" s="443" t="str">
        <f>IF(D164="","",D164)</f>
        <v/>
      </c>
      <c r="G168" s="544" t="str">
        <f t="shared" si="0"/>
        <v/>
      </c>
      <c r="H168" s="544" t="str">
        <f t="shared" si="0"/>
        <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2470</v>
      </c>
      <c r="B169" s="1032" t="s">
        <v>4039</v>
      </c>
      <c r="D169" s="443" t="str">
        <f>IF(D165="","",D165)</f>
        <v>Colquitt County High School - 1554</v>
      </c>
      <c r="G169" s="544" t="str">
        <f t="shared" si="0"/>
        <v>09-12</v>
      </c>
      <c r="H169" s="544" t="str">
        <f t="shared" si="0"/>
        <v>No</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2000</v>
      </c>
      <c r="B171" s="10" t="s">
        <v>4043</v>
      </c>
      <c r="C171" s="95"/>
      <c r="D171" s="1191"/>
      <c r="E171" s="1191"/>
      <c r="F171" s="62" t="s">
        <v>3411</v>
      </c>
      <c r="H171" s="41" t="s">
        <v>3897</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4220</v>
      </c>
      <c r="F172" s="2045" t="s">
        <v>3685</v>
      </c>
      <c r="G172" s="2048" t="s">
        <v>3419</v>
      </c>
      <c r="H172" s="2048"/>
      <c r="I172" s="2048"/>
      <c r="J172" s="2048"/>
      <c r="K172" s="2048"/>
      <c r="L172" s="2048"/>
      <c r="M172" s="2048"/>
      <c r="N172" s="2048"/>
      <c r="P172" s="1224"/>
      <c r="R172" s="430" t="s">
        <v>2849</v>
      </c>
      <c r="T172" s="2086" t="str">
        <f>'Part I-Project Information'!$F$38</f>
        <v>Moultrie</v>
      </c>
      <c r="U172" s="2087"/>
      <c r="V172" s="2087"/>
      <c r="W172" s="2087"/>
      <c r="X172" s="2088"/>
    </row>
    <row r="173" spans="1:24" s="56" customFormat="1" ht="13.5" customHeight="1">
      <c r="A173" s="48"/>
      <c r="B173" s="2057" t="s">
        <v>4046</v>
      </c>
      <c r="C173" s="2057"/>
      <c r="D173" s="2057"/>
      <c r="E173" s="2194"/>
      <c r="F173" s="2194"/>
      <c r="G173" s="2047" t="s">
        <v>4045</v>
      </c>
      <c r="H173" s="2047"/>
      <c r="I173" s="2047"/>
      <c r="J173" s="2047"/>
      <c r="K173" s="2047"/>
      <c r="L173" s="2047"/>
      <c r="M173" s="2047"/>
      <c r="N173" s="2047"/>
      <c r="O173" s="2045" t="s">
        <v>3686</v>
      </c>
      <c r="P173" s="2045"/>
      <c r="R173" s="59" t="s">
        <v>2850</v>
      </c>
      <c r="T173" s="2041" t="str">
        <f>'Part I-Project Information'!$J$39</f>
        <v>Colquitt</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2851</v>
      </c>
      <c r="T174" s="2041" t="str">
        <f>'Part I-Project Information'!$O$40</f>
        <v>Colquitt Co.</v>
      </c>
      <c r="U174" s="2042"/>
      <c r="V174" s="2042"/>
      <c r="W174" s="2042"/>
      <c r="X174" s="2043"/>
    </row>
    <row r="175" spans="1:24" s="37" customFormat="1" ht="13.5" customHeight="1">
      <c r="A175" s="48"/>
      <c r="B175" s="2059" t="s">
        <v>4044</v>
      </c>
      <c r="C175" s="2059"/>
      <c r="D175" s="2059"/>
      <c r="E175" s="1608">
        <v>4500</v>
      </c>
      <c r="F175" s="1608">
        <v>9000</v>
      </c>
      <c r="G175" s="2046">
        <v>22500</v>
      </c>
      <c r="H175" s="2046"/>
      <c r="I175" s="2046"/>
      <c r="J175" s="2046"/>
      <c r="K175" s="2046"/>
      <c r="L175" s="2046"/>
      <c r="M175" s="2046"/>
      <c r="N175" s="2046"/>
      <c r="O175" s="2046">
        <v>30000</v>
      </c>
      <c r="P175" s="2046"/>
      <c r="R175" s="41" t="s">
        <v>3890</v>
      </c>
      <c r="T175" s="2050" t="str">
        <f>VLOOKUP('Part I-Project Information'!$J$39,'DCA Underwriting Assumptions'!$G$155:$J$314,4)</f>
        <v>Non-MSA</v>
      </c>
      <c r="U175" s="2051"/>
      <c r="V175" s="2051"/>
      <c r="W175" s="2051"/>
      <c r="X175" s="2052"/>
    </row>
    <row r="176" spans="1:24" s="56" customFormat="1" ht="9" customHeight="1">
      <c r="A176" s="48"/>
      <c r="B176" s="48"/>
      <c r="C176" s="430"/>
      <c r="K176" s="544"/>
      <c r="L176" s="544"/>
    </row>
    <row r="177" spans="1:24" s="56" customFormat="1" ht="13.5" customHeight="1">
      <c r="B177" s="959" t="s">
        <v>3891</v>
      </c>
      <c r="E177" s="958"/>
      <c r="F177" s="958"/>
      <c r="G177" s="958"/>
      <c r="I177" s="3025">
        <v>3000</v>
      </c>
      <c r="J177" s="1256"/>
      <c r="R177" s="56" t="s">
        <v>3651</v>
      </c>
      <c r="T177" s="2054" t="str">
        <f>'Part I-Project Information'!$K$40</f>
        <v>Rural</v>
      </c>
      <c r="U177" s="2055"/>
      <c r="V177" s="2055"/>
      <c r="W177" s="2055"/>
      <c r="X177" s="2056"/>
    </row>
    <row r="178" spans="1:24" s="56" customFormat="1" ht="13.5" customHeight="1">
      <c r="A178" s="961"/>
      <c r="B178" s="443" t="s">
        <v>3650</v>
      </c>
      <c r="H178" s="960" t="str">
        <f>IF(I178&lt;I177,"Threshold not met!","")</f>
        <v/>
      </c>
      <c r="I178" s="3026">
        <v>5403</v>
      </c>
      <c r="J178" s="1257"/>
      <c r="K178" s="1226" t="str">
        <f>IF(J178&lt;J177,"Threshold not met!","")</f>
        <v/>
      </c>
    </row>
    <row r="179" spans="1:24" s="56" customFormat="1" ht="8.25" customHeight="1">
      <c r="A179" s="961"/>
      <c r="B179" s="443"/>
    </row>
    <row r="180" spans="1:24" s="56" customFormat="1" ht="11.25" customHeight="1">
      <c r="B180" s="611" t="s">
        <v>2001</v>
      </c>
      <c r="C180" s="37" t="s">
        <v>4219</v>
      </c>
      <c r="D180" s="1160"/>
      <c r="E180" s="1160"/>
      <c r="F180" s="1160"/>
      <c r="G180" s="1160"/>
      <c r="H180" s="1276" t="s">
        <v>2001</v>
      </c>
      <c r="I180" s="1273" t="str">
        <f>IF(OR(I177="",I178=""),"",IF(I178&gt;=I177,"Yes","No"))</f>
        <v>Yes</v>
      </c>
      <c r="J180" s="1273" t="str">
        <f>IF(OR(J177="",J178=""),"",IF(J178&gt;=J177,"Yes","No"))</f>
        <v/>
      </c>
    </row>
    <row r="181" spans="1:24" s="56" customFormat="1" ht="11.25" customHeight="1">
      <c r="A181" s="1161" t="s">
        <v>1365</v>
      </c>
      <c r="B181" s="611" t="s">
        <v>2003</v>
      </c>
      <c r="C181" s="37" t="s">
        <v>4047</v>
      </c>
      <c r="D181" s="1354"/>
      <c r="E181" s="1354"/>
      <c r="F181" s="1354"/>
      <c r="H181" s="1276" t="s">
        <v>2003</v>
      </c>
      <c r="I181" s="1274" t="str">
        <f>IF(OR(I177="",I178=""),"",IF(I178&gt;=HLOOKUP(I177,$E$174:$P$175,2),"Yes","No"))</f>
        <v>Yes</v>
      </c>
      <c r="J181" s="1274" t="str">
        <f>IF(OR(J177="",J178=""),"",IF(J178&gt;=HLOOKUP(J177,$E$174:$P$175,2),"Yes","No"))</f>
        <v/>
      </c>
    </row>
    <row r="182" spans="1:24" s="56" customFormat="1" ht="11.25" customHeight="1">
      <c r="A182" s="1161"/>
      <c r="B182" s="143"/>
      <c r="C182" s="443" t="s">
        <v>3914</v>
      </c>
      <c r="D182" s="1354"/>
      <c r="E182" s="1354"/>
      <c r="F182" s="1354"/>
      <c r="G182" s="1225"/>
      <c r="I182" s="1275">
        <f>IF(I178="",0,(I178/I177) - 1)</f>
        <v>0.80099999999999993</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42" customHeight="1" thickTop="1" thickBot="1">
      <c r="A185" s="2932" t="s">
        <v>4681</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1879</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84">
        <v>7</v>
      </c>
      <c r="N189" s="7"/>
      <c r="O189" s="1193">
        <f>O207+O212</f>
        <v>6</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1942" t="s">
        <v>4182</v>
      </c>
      <c r="D193" s="1942"/>
      <c r="E193" s="1942"/>
      <c r="F193" s="1942"/>
      <c r="G193" s="1942"/>
      <c r="H193" s="1942"/>
      <c r="I193" s="1942"/>
      <c r="J193" s="1102" t="s">
        <v>2450</v>
      </c>
      <c r="K193" s="3027" t="s">
        <v>3009</v>
      </c>
      <c r="L193" s="1343"/>
      <c r="M193" s="3028" t="s">
        <v>4689</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2451</v>
      </c>
      <c r="C195" s="2049" t="s">
        <v>3629</v>
      </c>
      <c r="D195" s="2049"/>
      <c r="E195" s="2049"/>
      <c r="F195" s="2049"/>
      <c r="G195" s="2049"/>
      <c r="J195" s="390" t="s">
        <v>2451</v>
      </c>
      <c r="K195" s="3031" t="s">
        <v>3009</v>
      </c>
      <c r="L195" s="569"/>
      <c r="M195" s="3028" t="s">
        <v>4695</v>
      </c>
      <c r="N195" s="3029"/>
      <c r="O195" s="3029"/>
      <c r="P195" s="3030"/>
    </row>
    <row r="196" spans="1:25" s="406" customFormat="1" ht="10.5" customHeight="1">
      <c r="B196" s="402" t="s">
        <v>2452</v>
      </c>
      <c r="C196" s="1007" t="s">
        <v>2842</v>
      </c>
      <c r="D196" s="1007"/>
      <c r="E196" s="1007"/>
      <c r="F196" s="1007"/>
      <c r="G196" s="1007"/>
      <c r="H196" s="1007"/>
      <c r="J196" s="402" t="s">
        <v>2452</v>
      </c>
      <c r="K196" s="3031" t="s">
        <v>3009</v>
      </c>
      <c r="L196" s="569"/>
      <c r="M196" s="3028" t="s">
        <v>4690</v>
      </c>
      <c r="N196" s="3029"/>
      <c r="O196" s="3029"/>
      <c r="P196" s="3030"/>
    </row>
    <row r="197" spans="1:25" s="406" customFormat="1" ht="10.5" customHeight="1">
      <c r="B197" s="402" t="s">
        <v>2453</v>
      </c>
      <c r="C197" s="1033" t="s">
        <v>4058</v>
      </c>
      <c r="D197" s="144"/>
      <c r="E197" s="144"/>
      <c r="F197" s="144"/>
      <c r="G197" s="144"/>
      <c r="H197" s="144"/>
      <c r="J197" s="402" t="s">
        <v>2453</v>
      </c>
      <c r="K197" s="3031" t="s">
        <v>3009</v>
      </c>
      <c r="L197" s="569"/>
      <c r="M197" s="3028" t="s">
        <v>4691</v>
      </c>
      <c r="N197" s="3029"/>
      <c r="O197" s="3029"/>
      <c r="P197" s="3030"/>
    </row>
    <row r="198" spans="1:25" s="406" customFormat="1" ht="10.5" customHeight="1">
      <c r="B198" s="1102"/>
      <c r="D198" s="144" t="s">
        <v>4227</v>
      </c>
      <c r="E198" s="144"/>
      <c r="H198" s="144"/>
      <c r="J198" s="1102"/>
      <c r="K198" s="3032" t="s">
        <v>3009</v>
      </c>
      <c r="L198" s="571"/>
    </row>
    <row r="199" spans="1:25" s="406" customFormat="1" ht="10.5" customHeight="1">
      <c r="B199" s="402" t="s">
        <v>2454</v>
      </c>
      <c r="C199" s="1007" t="s">
        <v>4048</v>
      </c>
      <c r="D199" s="1007"/>
      <c r="E199" s="1007"/>
      <c r="F199" s="1007"/>
      <c r="G199" s="1007"/>
      <c r="H199" s="1007"/>
      <c r="J199" s="402" t="s">
        <v>2454</v>
      </c>
      <c r="K199" s="3031" t="s">
        <v>3009</v>
      </c>
      <c r="L199" s="569"/>
      <c r="M199" s="3028" t="s">
        <v>4692</v>
      </c>
      <c r="N199" s="3029"/>
      <c r="O199" s="3029"/>
      <c r="P199" s="3030"/>
    </row>
    <row r="200" spans="1:25" s="406" customFormat="1" ht="10.5" customHeight="1">
      <c r="B200" s="1102" t="s">
        <v>2470</v>
      </c>
      <c r="C200" s="1007" t="s">
        <v>2843</v>
      </c>
      <c r="D200" s="1007"/>
      <c r="E200" s="1007"/>
      <c r="F200" s="1007"/>
      <c r="G200" s="1007"/>
      <c r="J200" s="1102" t="s">
        <v>2470</v>
      </c>
      <c r="K200" s="3031" t="s">
        <v>3009</v>
      </c>
      <c r="L200" s="569"/>
      <c r="M200" s="3028" t="s">
        <v>4694</v>
      </c>
      <c r="N200" s="3029"/>
      <c r="O200" s="3029"/>
      <c r="P200" s="3030"/>
    </row>
    <row r="201" spans="1:25" s="406" customFormat="1" ht="10.5" customHeight="1">
      <c r="B201" s="1102" t="s">
        <v>2471</v>
      </c>
      <c r="C201" s="1007" t="s">
        <v>4049</v>
      </c>
      <c r="D201" s="1007"/>
      <c r="E201" s="1007"/>
      <c r="F201" s="1007"/>
      <c r="J201" s="1102" t="s">
        <v>2471</v>
      </c>
      <c r="K201" s="3031" t="s">
        <v>3009</v>
      </c>
      <c r="L201" s="569"/>
    </row>
    <row r="202" spans="1:25" s="406" customFormat="1" ht="10.5" customHeight="1">
      <c r="B202" s="402"/>
      <c r="C202" s="1007"/>
      <c r="D202" s="1096" t="s">
        <v>4050</v>
      </c>
      <c r="E202" s="1007"/>
      <c r="F202" s="3033">
        <v>40680</v>
      </c>
      <c r="G202" s="1345"/>
      <c r="I202" s="1096" t="s">
        <v>4051</v>
      </c>
      <c r="K202" s="3034">
        <v>43221</v>
      </c>
      <c r="L202" s="1344"/>
    </row>
    <row r="203" spans="1:25" s="406" customFormat="1" ht="10.5" customHeight="1">
      <c r="B203" s="1102" t="s">
        <v>2472</v>
      </c>
      <c r="C203" s="1007" t="s">
        <v>3808</v>
      </c>
      <c r="D203" s="1007"/>
      <c r="E203" s="1007"/>
      <c r="F203" s="1007"/>
      <c r="J203" s="1102" t="s">
        <v>2472</v>
      </c>
      <c r="K203" s="3027" t="s">
        <v>3009</v>
      </c>
      <c r="L203" s="1343"/>
    </row>
    <row r="204" spans="1:25" ht="3" customHeight="1">
      <c r="A204" s="532"/>
      <c r="B204" s="495"/>
      <c r="D204" s="614"/>
      <c r="E204" s="495"/>
      <c r="G204" s="623"/>
      <c r="H204" s="624"/>
      <c r="I204" s="448"/>
      <c r="K204" s="910"/>
      <c r="N204" s="28"/>
      <c r="O204" s="28"/>
      <c r="P204" s="28"/>
    </row>
    <row r="205" spans="1:25" ht="11.25" customHeight="1">
      <c r="B205" s="1609" t="s">
        <v>4183</v>
      </c>
      <c r="E205" s="34"/>
      <c r="G205" s="3035" t="s">
        <v>4693</v>
      </c>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1998</v>
      </c>
      <c r="B207" s="184" t="s">
        <v>4052</v>
      </c>
      <c r="H207" s="164"/>
      <c r="I207" s="164"/>
      <c r="M207" s="445">
        <v>5</v>
      </c>
      <c r="N207" s="48" t="s">
        <v>1998</v>
      </c>
      <c r="O207" s="575">
        <f>SUM(O208:O209)</f>
        <v>5</v>
      </c>
      <c r="P207" s="575">
        <f>SUM(P208:P209)</f>
        <v>0</v>
      </c>
      <c r="Q207" s="1099"/>
      <c r="X207" s="388"/>
      <c r="Y207" s="390"/>
    </row>
    <row r="208" spans="1:25" ht="21.75" customHeight="1">
      <c r="A208" s="532"/>
      <c r="B208" s="621" t="s">
        <v>2001</v>
      </c>
      <c r="C208" s="2049" t="s">
        <v>3807</v>
      </c>
      <c r="D208" s="2049"/>
      <c r="E208" s="2049"/>
      <c r="F208" s="2049"/>
      <c r="G208" s="2049"/>
      <c r="H208" s="2049"/>
      <c r="I208" s="2049"/>
      <c r="J208" s="2049"/>
      <c r="K208" s="2049"/>
      <c r="L208" s="391" t="str">
        <f>IF(OR($O208=$M208,$O208=0,$O208=""),"","* * Check Score! * *")</f>
        <v/>
      </c>
      <c r="M208" s="1242">
        <v>3</v>
      </c>
      <c r="N208" s="499" t="s">
        <v>2001</v>
      </c>
      <c r="O208" s="2947">
        <v>3</v>
      </c>
      <c r="P208" s="913"/>
      <c r="Q208" s="1090" t="str">
        <f>IF(OR($O208=$M208,$O208=0,$O208=""),"","*CHECK!*")</f>
        <v/>
      </c>
      <c r="R208" s="1086" t="s">
        <v>2723</v>
      </c>
    </row>
    <row r="209" spans="1:23" ht="21.75" customHeight="1">
      <c r="A209" s="532"/>
      <c r="B209" s="621" t="s">
        <v>2003</v>
      </c>
      <c r="C209" s="2016" t="s">
        <v>4057</v>
      </c>
      <c r="D209" s="2016"/>
      <c r="E209" s="2016"/>
      <c r="F209" s="2016"/>
      <c r="G209" s="2016"/>
      <c r="H209" s="2016"/>
      <c r="I209" s="2016"/>
      <c r="J209" s="2016"/>
      <c r="K209" s="2016"/>
      <c r="L209" s="391" t="str">
        <f>IF(OR($O209=$M209,$O209=0,$O209=""),"","* * Check Score! * *")</f>
        <v/>
      </c>
      <c r="M209" s="1242">
        <v>2</v>
      </c>
      <c r="N209" s="499" t="s">
        <v>2003</v>
      </c>
      <c r="O209" s="2931">
        <v>2</v>
      </c>
      <c r="P209" s="1218"/>
      <c r="Q209" s="1090" t="str">
        <f>IF(OR($O209=$M209,$O209=0,$O209=""),"","*CHECK!*")</f>
        <v/>
      </c>
      <c r="R209" s="1086" t="s">
        <v>2723</v>
      </c>
    </row>
    <row r="210" spans="1:23" ht="10.5" customHeight="1">
      <c r="A210" s="532"/>
      <c r="B210" s="495"/>
      <c r="C210" s="495" t="s">
        <v>3806</v>
      </c>
      <c r="D210" s="164"/>
      <c r="E210" s="453" t="str">
        <f>'Part I-Project Information'!$N$39</f>
        <v>Yes</v>
      </c>
      <c r="G210" s="495" t="s">
        <v>3599</v>
      </c>
      <c r="I210" s="2058" t="str">
        <f>'Part I-Project Information'!$O$38</f>
        <v>13071970702</v>
      </c>
      <c r="J210" s="2058"/>
      <c r="K210" s="448" t="s">
        <v>3395</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2000</v>
      </c>
      <c r="B212" s="184" t="s">
        <v>4055</v>
      </c>
      <c r="D212" s="34"/>
      <c r="K212" s="1277"/>
      <c r="L212" s="391" t="str">
        <f>IF(OR($O212=$M212,$O212=0,$O212=""),"","* * Check Score! * *")</f>
        <v>* * Check Score! * *</v>
      </c>
      <c r="M212" s="445">
        <v>2</v>
      </c>
      <c r="N212" s="65" t="s">
        <v>2000</v>
      </c>
      <c r="O212" s="2963">
        <v>1</v>
      </c>
      <c r="P212" s="912"/>
      <c r="Q212" s="1090" t="str">
        <f>IF(OR($O212=$M212,$O212=0,$O212=""),"","*CHECK!*")</f>
        <v>*CHECK!*</v>
      </c>
      <c r="R212" s="1086" t="s">
        <v>2723</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 Check Score! * *</v>
      </c>
      <c r="V213" s="1169"/>
      <c r="W213" s="1169"/>
    </row>
    <row r="214" spans="1:23" s="44" customFormat="1" ht="10.5" customHeight="1">
      <c r="A214" s="182"/>
      <c r="B214" s="37" t="s">
        <v>3887</v>
      </c>
      <c r="J214" s="3038" t="s">
        <v>4563</v>
      </c>
      <c r="K214" s="3039"/>
      <c r="L214" s="3040"/>
      <c r="V214" s="1169"/>
      <c r="W214" s="1169"/>
    </row>
    <row r="215" spans="1:23" s="44" customFormat="1" ht="10.5" customHeight="1">
      <c r="A215" s="182"/>
      <c r="B215" s="495" t="s">
        <v>3888</v>
      </c>
      <c r="I215" s="960" t="str">
        <f>IF($J$215="Government", "Additional documentation required - see QAP.","")</f>
        <v>Additional documentation required - see QAP.</v>
      </c>
      <c r="J215" s="3041" t="s">
        <v>4701</v>
      </c>
      <c r="K215" s="3042"/>
      <c r="L215" s="3043"/>
      <c r="M215" s="1106" t="s">
        <v>3649</v>
      </c>
      <c r="N215" s="1107"/>
      <c r="O215" s="1107"/>
      <c r="P215" s="1108"/>
      <c r="V215" s="1169"/>
      <c r="W215" s="1169"/>
    </row>
    <row r="216" spans="1:23" ht="10.5" customHeight="1">
      <c r="A216" s="183"/>
      <c r="B216" s="495" t="s">
        <v>4244</v>
      </c>
      <c r="F216" s="1258"/>
      <c r="G216" s="1258"/>
      <c r="H216" s="1258"/>
      <c r="L216" s="2978" t="s">
        <v>3012</v>
      </c>
      <c r="M216" s="3044">
        <v>43830</v>
      </c>
      <c r="N216" s="3045"/>
      <c r="O216" s="3045"/>
      <c r="P216" s="3046"/>
      <c r="V216" s="1169"/>
      <c r="W216" s="1169"/>
    </row>
    <row r="217" spans="1:23" ht="10.5" customHeight="1">
      <c r="A217" s="183"/>
      <c r="B217" s="405" t="s">
        <v>3817</v>
      </c>
      <c r="G217" s="405"/>
      <c r="J217" s="3047">
        <v>0.5</v>
      </c>
      <c r="K217" s="1317" t="s">
        <v>3816</v>
      </c>
      <c r="L217" s="1258"/>
      <c r="V217" s="1169"/>
      <c r="W217" s="1169"/>
    </row>
    <row r="218" spans="1:23" ht="38.25" customHeight="1">
      <c r="A218" s="2023" t="s">
        <v>4224</v>
      </c>
      <c r="B218" s="2021" t="s">
        <v>4221</v>
      </c>
      <c r="C218" s="2022"/>
      <c r="D218" s="3048" t="s">
        <v>4704</v>
      </c>
      <c r="E218" s="3049"/>
      <c r="F218" s="3049"/>
      <c r="G218" s="3049"/>
      <c r="H218" s="3049"/>
      <c r="I218" s="3049"/>
      <c r="J218" s="3049"/>
      <c r="K218" s="3049"/>
      <c r="L218" s="3049"/>
      <c r="M218" s="3049"/>
      <c r="N218" s="3049"/>
      <c r="O218" s="3049"/>
      <c r="P218" s="3050"/>
      <c r="Q218" s="461"/>
      <c r="V218" s="1169"/>
      <c r="W218" s="1169"/>
    </row>
    <row r="219" spans="1:23" ht="32.25" customHeight="1">
      <c r="A219" s="2024"/>
      <c r="B219" s="2121" t="s">
        <v>4222</v>
      </c>
      <c r="C219" s="2122"/>
      <c r="D219" s="3051" t="s">
        <v>4702</v>
      </c>
      <c r="E219" s="3052"/>
      <c r="F219" s="3052"/>
      <c r="G219" s="3052"/>
      <c r="H219" s="3052"/>
      <c r="I219" s="3052"/>
      <c r="J219" s="3052"/>
      <c r="K219" s="3052"/>
      <c r="L219" s="3052"/>
      <c r="M219" s="3052"/>
      <c r="N219" s="3052"/>
      <c r="O219" s="3052"/>
      <c r="P219" s="3053"/>
      <c r="Q219" s="461"/>
      <c r="V219" s="1169"/>
      <c r="W219" s="1169"/>
    </row>
    <row r="220" spans="1:23" ht="34.5" customHeight="1">
      <c r="A220" s="2025"/>
      <c r="B220" s="2019" t="s">
        <v>4223</v>
      </c>
      <c r="C220" s="2020"/>
      <c r="D220" s="3054" t="s">
        <v>4703</v>
      </c>
      <c r="E220" s="3055"/>
      <c r="F220" s="3055"/>
      <c r="G220" s="3055"/>
      <c r="H220" s="3055"/>
      <c r="I220" s="3055"/>
      <c r="J220" s="3055"/>
      <c r="K220" s="3055"/>
      <c r="L220" s="3055"/>
      <c r="M220" s="3055"/>
      <c r="N220" s="3055"/>
      <c r="O220" s="3055"/>
      <c r="P220" s="3056"/>
      <c r="Q220" s="461"/>
      <c r="V220" s="1169"/>
      <c r="W220" s="1169"/>
    </row>
    <row r="221" spans="1:23" ht="10.5" customHeight="1">
      <c r="B221" s="37" t="s">
        <v>3475</v>
      </c>
      <c r="G221" s="2117" t="s">
        <v>2645</v>
      </c>
      <c r="H221" s="2117"/>
      <c r="J221" s="3057">
        <v>205110</v>
      </c>
      <c r="K221" s="3058"/>
      <c r="L221" s="2017"/>
      <c r="M221" s="2018"/>
      <c r="V221" s="1169"/>
      <c r="W221" s="1169"/>
    </row>
    <row r="222" spans="1:23" s="44" customFormat="1" ht="10.5" customHeight="1">
      <c r="A222" s="43"/>
      <c r="C222" s="37" t="s">
        <v>3476</v>
      </c>
      <c r="D222" s="1592"/>
      <c r="G222" s="2013">
        <f>'Part IV-A-Uses of Funds'!$G$132</f>
        <v>10134678</v>
      </c>
      <c r="H222" s="2014"/>
      <c r="J222" s="2011">
        <f>IF($J221=0,0,$J221/$G$222)</f>
        <v>2.0238432834274556E-2</v>
      </c>
      <c r="K222" s="2012"/>
      <c r="L222" s="2011">
        <f>IF($L221=0,0,$L221/$G$222)</f>
        <v>0</v>
      </c>
      <c r="M222" s="2012"/>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58.5" customHeight="1" thickTop="1" thickBot="1">
      <c r="A224" s="2932" t="s">
        <v>4661</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1879</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4056</v>
      </c>
      <c r="C228" s="1592"/>
      <c r="D228" s="1592"/>
      <c r="E228" s="1592"/>
      <c r="F228" s="1592"/>
      <c r="G228" s="1592"/>
      <c r="H228" s="1592"/>
      <c r="I228" s="1592"/>
      <c r="J228" s="1592"/>
      <c r="K228" s="1590" t="s">
        <v>3265</v>
      </c>
      <c r="L228" s="1590" t="s">
        <v>258</v>
      </c>
      <c r="M228" s="941">
        <v>3</v>
      </c>
      <c r="N228" s="77"/>
      <c r="O228" s="73"/>
      <c r="P228" s="1231"/>
      <c r="Q228" s="112" t="s">
        <v>443</v>
      </c>
      <c r="R228" s="1086" t="s">
        <v>2723</v>
      </c>
    </row>
    <row r="229" spans="1:23" s="44" customFormat="1" ht="11.25" customHeight="1">
      <c r="A229" s="143"/>
      <c r="B229" s="116" t="s">
        <v>4059</v>
      </c>
      <c r="D229" s="56" t="s">
        <v>4060</v>
      </c>
      <c r="K229" s="1293">
        <f>$O$189</f>
        <v>6</v>
      </c>
      <c r="L229" s="1294">
        <f>$P$189</f>
        <v>0</v>
      </c>
      <c r="N229" s="484" t="s">
        <v>2450</v>
      </c>
      <c r="O229" s="2929"/>
      <c r="P229" s="1005"/>
      <c r="R229" s="391"/>
    </row>
    <row r="230" spans="1:23" s="44" customFormat="1" ht="11.25" customHeight="1">
      <c r="A230" s="143"/>
      <c r="D230" s="56" t="s">
        <v>4061</v>
      </c>
      <c r="K230" s="1293">
        <f>$O$111</f>
        <v>3</v>
      </c>
      <c r="L230" s="1294">
        <f>$P$111</f>
        <v>0</v>
      </c>
      <c r="N230" s="484" t="s">
        <v>2451</v>
      </c>
      <c r="O230" s="2935"/>
      <c r="P230" s="562"/>
      <c r="R230" s="1169"/>
      <c r="S230" s="1169"/>
    </row>
    <row r="231" spans="1:23" s="44" customFormat="1" ht="11.25" customHeight="1">
      <c r="A231" s="143"/>
      <c r="D231" s="56" t="s">
        <v>4062</v>
      </c>
      <c r="N231" s="484" t="s">
        <v>2452</v>
      </c>
      <c r="O231" s="2928"/>
      <c r="P231" s="562"/>
      <c r="R231" s="1169"/>
      <c r="S231" s="1169"/>
    </row>
    <row r="232" spans="1:23" s="44" customFormat="1" ht="11.25" customHeight="1">
      <c r="A232" s="143"/>
      <c r="D232" s="56" t="s">
        <v>4063</v>
      </c>
      <c r="N232" s="484" t="s">
        <v>2453</v>
      </c>
      <c r="O232" s="484"/>
      <c r="P232" s="962"/>
      <c r="R232" s="1169"/>
      <c r="S232" s="1169"/>
    </row>
    <row r="233" spans="1:23" s="44" customFormat="1" ht="11.25" customHeight="1">
      <c r="A233" s="143"/>
      <c r="D233" s="56" t="s">
        <v>4064</v>
      </c>
      <c r="N233" s="484" t="s">
        <v>2454</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1998</v>
      </c>
      <c r="B235" s="184" t="s">
        <v>4066</v>
      </c>
      <c r="D235" s="34"/>
      <c r="G235" s="495" t="s">
        <v>3812</v>
      </c>
      <c r="N235" s="28"/>
      <c r="O235" s="28"/>
      <c r="P235" s="28"/>
      <c r="Q235" s="1099"/>
    </row>
    <row r="236" spans="1:23" s="34" customFormat="1" ht="10.5" customHeight="1">
      <c r="A236" s="532"/>
      <c r="B236" s="139" t="s">
        <v>3892</v>
      </c>
      <c r="D236" s="3059"/>
      <c r="E236" s="3060"/>
      <c r="F236" s="3060"/>
      <c r="G236" s="3061"/>
      <c r="H236" s="3062"/>
      <c r="I236" s="1595" t="s">
        <v>2721</v>
      </c>
      <c r="J236" s="3059"/>
      <c r="K236" s="3060"/>
      <c r="L236" s="3060"/>
      <c r="M236" s="3060"/>
      <c r="N236" s="3062"/>
      <c r="O236" s="605"/>
      <c r="P236" s="605"/>
      <c r="Q236" s="1099"/>
    </row>
    <row r="237" spans="1:23" s="34" customFormat="1" ht="10.5" customHeight="1">
      <c r="A237" s="532"/>
      <c r="B237" s="139" t="s">
        <v>2209</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2001</v>
      </c>
      <c r="C239" s="1101" t="s">
        <v>4065</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88"/>
      <c r="B240" s="655"/>
      <c r="C240" s="2015" t="s">
        <v>4076</v>
      </c>
      <c r="D240" s="2015"/>
      <c r="E240" s="2015"/>
      <c r="F240" s="2015"/>
      <c r="G240" s="2015"/>
      <c r="H240" s="2015"/>
      <c r="I240" s="2015"/>
      <c r="J240" s="2015"/>
      <c r="K240" s="2015"/>
      <c r="L240" s="2015"/>
      <c r="N240" s="404" t="s">
        <v>2001</v>
      </c>
      <c r="O240" s="3067"/>
      <c r="P240" s="1262"/>
      <c r="Q240" s="1096"/>
      <c r="R240" s="28"/>
      <c r="S240" s="1177"/>
      <c r="V240" s="1169"/>
      <c r="W240" s="1169"/>
    </row>
    <row r="241" spans="1:23" s="34" customFormat="1" ht="10.5" customHeight="1">
      <c r="A241" s="532"/>
      <c r="B241" s="484" t="s">
        <v>2450</v>
      </c>
      <c r="C241" s="139" t="s">
        <v>4067</v>
      </c>
      <c r="D241" s="3068"/>
      <c r="E241" s="3069"/>
      <c r="F241" s="3069"/>
      <c r="G241" s="3060"/>
      <c r="H241" s="3070"/>
      <c r="I241" s="1595" t="s">
        <v>2721</v>
      </c>
      <c r="J241" s="3068"/>
      <c r="K241" s="3069"/>
      <c r="L241" s="3069"/>
      <c r="M241" s="3069"/>
      <c r="N241" s="3070"/>
      <c r="O241" s="2118" t="s">
        <v>4069</v>
      </c>
      <c r="P241" s="2119"/>
      <c r="Q241" s="1096"/>
      <c r="R241" s="28"/>
      <c r="V241" s="1169"/>
      <c r="W241" s="1169"/>
    </row>
    <row r="242" spans="1:23" s="34" customFormat="1" ht="10.5" customHeight="1">
      <c r="A242" s="532"/>
      <c r="C242" s="1179" t="s">
        <v>2209</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2451</v>
      </c>
      <c r="C243" s="139" t="s">
        <v>4068</v>
      </c>
      <c r="D243" s="3068"/>
      <c r="E243" s="3069"/>
      <c r="F243" s="3069"/>
      <c r="G243" s="3060"/>
      <c r="H243" s="3070"/>
      <c r="I243" s="1595" t="s">
        <v>2721</v>
      </c>
      <c r="J243" s="3068"/>
      <c r="K243" s="3069"/>
      <c r="L243" s="3069"/>
      <c r="M243" s="3069"/>
      <c r="N243" s="3070"/>
      <c r="O243" s="2118" t="s">
        <v>4069</v>
      </c>
      <c r="P243" s="2119"/>
      <c r="Q243" s="1096"/>
      <c r="R243" s="28"/>
      <c r="V243" s="1169"/>
      <c r="W243" s="1169"/>
    </row>
    <row r="244" spans="1:23" s="34" customFormat="1" ht="10.5" customHeight="1">
      <c r="A244" s="532"/>
      <c r="C244" s="1179" t="s">
        <v>2209</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2003</v>
      </c>
      <c r="C245" s="1101" t="s">
        <v>4070</v>
      </c>
      <c r="D245" s="1096"/>
      <c r="E245" s="1096"/>
      <c r="F245" s="1096"/>
      <c r="G245" s="495" t="s">
        <v>3812</v>
      </c>
      <c r="H245" s="1096"/>
      <c r="I245" s="1096"/>
      <c r="J245" s="1096"/>
      <c r="K245" s="1096"/>
      <c r="L245" s="1096"/>
      <c r="M245" s="1096"/>
      <c r="N245" s="1096"/>
      <c r="O245" s="540" t="s">
        <v>2526</v>
      </c>
      <c r="P245" s="540" t="s">
        <v>2526</v>
      </c>
      <c r="Q245" s="1096"/>
    </row>
    <row r="246" spans="1:23" ht="21.75" customHeight="1">
      <c r="A246" s="532"/>
      <c r="B246" s="1103"/>
      <c r="C246" s="1942" t="s">
        <v>4185</v>
      </c>
      <c r="D246" s="1942"/>
      <c r="E246" s="1942"/>
      <c r="F246" s="1942"/>
      <c r="G246" s="1942"/>
      <c r="H246" s="1942"/>
      <c r="I246" s="1942"/>
      <c r="J246" s="1942"/>
      <c r="K246" s="1942"/>
      <c r="L246" s="1942"/>
      <c r="M246" s="1942"/>
      <c r="N246" s="404" t="s">
        <v>2003</v>
      </c>
      <c r="O246" s="3067"/>
      <c r="P246" s="1262"/>
      <c r="Q246" s="1100"/>
      <c r="V246" s="1169"/>
      <c r="W246" s="1169"/>
    </row>
    <row r="247" spans="1:23" ht="11.25" customHeight="1">
      <c r="A247" s="532"/>
      <c r="B247" s="484" t="s">
        <v>2450</v>
      </c>
      <c r="C247" s="1105" t="s">
        <v>4186</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2451</v>
      </c>
      <c r="C251" s="1105" t="s">
        <v>4184</v>
      </c>
      <c r="D251" s="1591"/>
      <c r="E251" s="1591"/>
      <c r="F251" s="1591"/>
      <c r="G251" s="1591"/>
      <c r="H251" s="1591"/>
      <c r="I251" s="1591"/>
      <c r="J251" s="1591"/>
      <c r="K251" s="1591"/>
      <c r="L251" s="2182" t="s">
        <v>4188</v>
      </c>
      <c r="M251" s="2182"/>
      <c r="N251" s="2183" t="s">
        <v>4189</v>
      </c>
      <c r="O251" s="2183"/>
      <c r="P251" s="218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2550</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4075</v>
      </c>
      <c r="D256" s="2015"/>
      <c r="E256" s="2015"/>
      <c r="F256" s="2015"/>
      <c r="G256" s="2015"/>
      <c r="H256" s="2015"/>
      <c r="I256" s="2015"/>
      <c r="J256" s="2015"/>
      <c r="K256" s="2015"/>
      <c r="L256" s="2015"/>
      <c r="M256" s="2015"/>
      <c r="N256" s="404" t="s">
        <v>2550</v>
      </c>
      <c r="O256" s="2999"/>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4077</v>
      </c>
      <c r="D258" s="2049"/>
      <c r="E258" s="2049"/>
      <c r="F258" s="2049"/>
      <c r="G258" s="2049"/>
      <c r="H258" s="2049"/>
      <c r="I258" s="2049"/>
      <c r="J258" s="2049"/>
      <c r="K258" s="2049"/>
      <c r="L258" s="2049"/>
      <c r="M258" s="2049"/>
      <c r="N258" s="404" t="s">
        <v>1236</v>
      </c>
      <c r="O258" s="3071"/>
      <c r="P258" s="1261"/>
      <c r="Q258" s="1100"/>
      <c r="V258" s="1169"/>
      <c r="W258" s="1169"/>
    </row>
    <row r="259" spans="1:23" s="34" customFormat="1" ht="10.5" customHeight="1">
      <c r="A259" s="532"/>
      <c r="B259" s="401" t="s">
        <v>2450</v>
      </c>
      <c r="C259" s="2015" t="s">
        <v>4078</v>
      </c>
      <c r="D259" s="2015"/>
      <c r="E259" s="2015"/>
      <c r="F259" s="2015"/>
      <c r="G259" s="2015"/>
      <c r="H259" s="2015"/>
      <c r="I259" s="2015"/>
      <c r="J259" s="2015"/>
      <c r="K259" s="2015"/>
      <c r="L259" s="2015"/>
      <c r="M259" s="2015"/>
      <c r="N259" s="401" t="s">
        <v>2450</v>
      </c>
      <c r="O259" s="2935"/>
      <c r="P259" s="562"/>
      <c r="Q259" s="1100"/>
      <c r="V259" s="1169"/>
      <c r="W259" s="1169"/>
    </row>
    <row r="260" spans="1:23" s="34" customFormat="1" ht="10.5" customHeight="1">
      <c r="A260" s="532"/>
      <c r="B260" s="401" t="s">
        <v>2451</v>
      </c>
      <c r="C260" s="2015" t="s">
        <v>4079</v>
      </c>
      <c r="D260" s="2015"/>
      <c r="E260" s="2015"/>
      <c r="F260" s="2015"/>
      <c r="G260" s="2015"/>
      <c r="H260" s="2015"/>
      <c r="I260" s="2015"/>
      <c r="J260" s="2015"/>
      <c r="K260" s="2015"/>
      <c r="L260" s="2015"/>
      <c r="M260" s="2015"/>
      <c r="N260" s="401" t="s">
        <v>2451</v>
      </c>
      <c r="O260" s="2928"/>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2000</v>
      </c>
      <c r="B262" s="184" t="s">
        <v>4072</v>
      </c>
      <c r="D262" s="34"/>
      <c r="G262" s="495" t="s">
        <v>3812</v>
      </c>
      <c r="N262" s="28"/>
      <c r="O262" s="540" t="s">
        <v>2526</v>
      </c>
      <c r="P262" s="540" t="s">
        <v>2526</v>
      </c>
      <c r="Q262" s="1099"/>
    </row>
    <row r="263" spans="1:23" ht="21.75" customHeight="1">
      <c r="A263" s="532"/>
      <c r="B263" s="621" t="s">
        <v>2001</v>
      </c>
      <c r="C263" s="1942" t="s">
        <v>4073</v>
      </c>
      <c r="D263" s="1942"/>
      <c r="E263" s="1942"/>
      <c r="F263" s="1942"/>
      <c r="G263" s="1942"/>
      <c r="H263" s="1942"/>
      <c r="I263" s="1942"/>
      <c r="J263" s="1942"/>
      <c r="K263" s="1942"/>
      <c r="L263" s="1942"/>
      <c r="M263" s="1232" t="s">
        <v>2000</v>
      </c>
      <c r="N263" s="404" t="s">
        <v>2001</v>
      </c>
      <c r="O263" s="3071"/>
      <c r="P263" s="1261"/>
      <c r="Q263" s="1099"/>
      <c r="V263" s="1169"/>
      <c r="W263" s="1169"/>
    </row>
    <row r="264" spans="1:23" s="34" customFormat="1" ht="10.5" customHeight="1">
      <c r="A264" s="532"/>
      <c r="B264" s="621" t="s">
        <v>2003</v>
      </c>
      <c r="C264" s="448" t="s">
        <v>4074</v>
      </c>
      <c r="D264" s="1041"/>
      <c r="E264" s="1041"/>
      <c r="F264" s="1041"/>
      <c r="G264" s="1041"/>
      <c r="H264" s="1041"/>
      <c r="I264" s="1041"/>
      <c r="J264" s="1041"/>
      <c r="K264" s="1041"/>
      <c r="L264" s="1041"/>
      <c r="M264" s="1041"/>
      <c r="N264" s="404" t="s">
        <v>2003</v>
      </c>
      <c r="O264" s="2928"/>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2970" t="s">
        <v>979</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1879</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4232</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179"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2811</v>
      </c>
      <c r="C273" s="536"/>
      <c r="D273" s="536"/>
      <c r="H273" s="537" t="str">
        <f>'Part I-Project Information'!$H$100</f>
        <v>Rural</v>
      </c>
      <c r="N273" s="2179"/>
      <c r="O273" s="1297" t="s">
        <v>2526</v>
      </c>
      <c r="P273" s="1297" t="s">
        <v>2526</v>
      </c>
    </row>
    <row r="274" spans="1:21" ht="11.45" customHeight="1">
      <c r="A274" s="2116"/>
      <c r="B274" s="942" t="s">
        <v>2001</v>
      </c>
      <c r="C274" s="454" t="s">
        <v>2701</v>
      </c>
      <c r="E274" s="120"/>
      <c r="M274" s="83"/>
      <c r="N274" s="2179"/>
      <c r="O274" s="2999"/>
      <c r="P274" s="560"/>
      <c r="Q274" s="2176" t="str">
        <f>IF(AND(O274="Yes",O277="Yes"),"Only 1 or 4 can be 'Yes'!","")</f>
        <v/>
      </c>
      <c r="R274" s="2176"/>
    </row>
    <row r="275" spans="1:21" ht="11.45" customHeight="1">
      <c r="B275" s="942" t="s">
        <v>2003</v>
      </c>
      <c r="C275" s="454" t="s">
        <v>2756</v>
      </c>
      <c r="G275" s="103" t="s">
        <v>2404</v>
      </c>
      <c r="H275" s="3072" t="s">
        <v>3805</v>
      </c>
      <c r="I275" s="454" t="s">
        <v>2757</v>
      </c>
      <c r="L275" s="139" t="s">
        <v>2755</v>
      </c>
      <c r="M275" s="944" t="str">
        <f>IF(O275&gt;H275,"CHECK ACTUAL PERCENT!!!","")</f>
        <v/>
      </c>
      <c r="N275" s="181" t="s">
        <v>2003</v>
      </c>
      <c r="O275" s="3073"/>
      <c r="P275" s="1287"/>
      <c r="Q275" s="2176"/>
      <c r="R275" s="2176"/>
    </row>
    <row r="276" spans="1:21" ht="11.45" customHeight="1">
      <c r="B276" s="942" t="s">
        <v>2550</v>
      </c>
      <c r="C276" s="430" t="s">
        <v>2405</v>
      </c>
      <c r="E276" s="120"/>
      <c r="G276" s="103" t="s">
        <v>2406</v>
      </c>
      <c r="L276" s="448" t="s">
        <v>2749</v>
      </c>
      <c r="M276" s="34"/>
      <c r="N276" s="181" t="s">
        <v>2550</v>
      </c>
      <c r="O276" s="3074" t="s">
        <v>203</v>
      </c>
      <c r="P276" s="1357" t="s">
        <v>203</v>
      </c>
      <c r="Q276" s="2176"/>
      <c r="R276" s="2176"/>
    </row>
    <row r="277" spans="1:21" s="406" customFormat="1" ht="11.45" customHeight="1">
      <c r="B277" s="621" t="s">
        <v>1236</v>
      </c>
      <c r="C277" s="1942" t="s">
        <v>4081</v>
      </c>
      <c r="D277" s="1942"/>
      <c r="E277" s="1942"/>
      <c r="F277" s="1942"/>
      <c r="G277" s="1942"/>
      <c r="H277" s="1942"/>
      <c r="I277" s="1942"/>
      <c r="J277" s="2177" t="s">
        <v>4082</v>
      </c>
      <c r="K277" s="2177" t="s">
        <v>4080</v>
      </c>
      <c r="M277" s="1236">
        <v>2</v>
      </c>
      <c r="N277" s="181" t="s">
        <v>1236</v>
      </c>
      <c r="O277" s="3067"/>
      <c r="P277" s="1262"/>
      <c r="Q277" s="2176"/>
      <c r="R277" s="2176"/>
    </row>
    <row r="278" spans="1:21" ht="11.45" customHeight="1">
      <c r="B278" s="389"/>
      <c r="C278" s="1942"/>
      <c r="D278" s="1942"/>
      <c r="E278" s="1942"/>
      <c r="F278" s="1942"/>
      <c r="G278" s="1942"/>
      <c r="H278" s="1942"/>
      <c r="I278" s="1942"/>
      <c r="J278" s="2178"/>
      <c r="K278" s="2178"/>
      <c r="L278" s="2180" t="s">
        <v>4145</v>
      </c>
      <c r="M278" s="2181"/>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3628</v>
      </c>
      <c r="C281" s="1290"/>
      <c r="D281" s="1290"/>
      <c r="E281" s="1290"/>
      <c r="F281" s="1290"/>
      <c r="G281" s="1290"/>
      <c r="H281" s="1288"/>
      <c r="I281" s="1288"/>
      <c r="O281" s="3077" t="s">
        <v>203</v>
      </c>
      <c r="P281" s="1289" t="s">
        <v>203</v>
      </c>
    </row>
    <row r="282" spans="1:21" ht="11.45" customHeight="1">
      <c r="A282" s="539" t="s">
        <v>2130</v>
      </c>
      <c r="B282" s="942" t="s">
        <v>3626</v>
      </c>
      <c r="C282" s="430"/>
      <c r="E282" s="120"/>
      <c r="G282" s="495" t="s">
        <v>3627</v>
      </c>
      <c r="H282" s="943">
        <f>'Part VI-Revenues &amp; Expenses'!$O$59</f>
        <v>0</v>
      </c>
      <c r="I282" s="1097" t="s">
        <v>3630</v>
      </c>
      <c r="J282" s="943">
        <f>'Part VI-Revenues &amp; Expenses'!$O$62</f>
        <v>50</v>
      </c>
      <c r="K282" s="1097" t="s">
        <v>3631</v>
      </c>
      <c r="L282" s="945">
        <f>IF(J282=0,0,H282/J282)</f>
        <v>0</v>
      </c>
      <c r="M282" s="1235">
        <v>2</v>
      </c>
      <c r="N282" s="1227"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4084</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1998</v>
      </c>
      <c r="B287" s="1238" t="s">
        <v>3819</v>
      </c>
      <c r="D287" s="655"/>
      <c r="E287" s="655"/>
      <c r="F287" s="655"/>
      <c r="G287" s="655"/>
      <c r="H287" s="655"/>
      <c r="I287" s="655"/>
      <c r="J287" s="655"/>
      <c r="K287" s="655"/>
      <c r="L287" s="1105"/>
      <c r="M287" s="2081" t="str">
        <f>IF(OR(SUM(T287:T288)&gt;1,SUM(U287:U288)&gt;1),"Only one category can be met by other means!","")</f>
        <v/>
      </c>
      <c r="N287" s="484" t="s">
        <v>1998</v>
      </c>
      <c r="O287" s="2929"/>
      <c r="P287" s="561"/>
      <c r="U287" s="1355">
        <f>IF(L287="Yes",1,0)</f>
        <v>0</v>
      </c>
    </row>
    <row r="288" spans="1:21" ht="11.25" customHeight="1">
      <c r="A288" s="1585" t="s">
        <v>2000</v>
      </c>
      <c r="B288" s="1238" t="s">
        <v>3820</v>
      </c>
      <c r="D288" s="655"/>
      <c r="L288" s="1105"/>
      <c r="M288" s="2081"/>
      <c r="N288" s="484" t="s">
        <v>2000</v>
      </c>
      <c r="O288" s="2928"/>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2" t="s">
        <v>979</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1879</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3411</v>
      </c>
      <c r="J294" s="89" t="s">
        <v>2811</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1998</v>
      </c>
      <c r="B295" s="184" t="s">
        <v>4085</v>
      </c>
      <c r="D295" s="34"/>
      <c r="E295" s="34"/>
      <c r="F295" s="34"/>
      <c r="H295" s="89" t="s">
        <v>3708</v>
      </c>
      <c r="I295" s="446"/>
      <c r="J295" s="2040" t="str">
        <f>'Part I-Project Information'!$O$34</f>
        <v>No</v>
      </c>
      <c r="K295" s="2040"/>
      <c r="L295" s="995">
        <f>'Part I-Project Information'!$O$35</f>
        <v>0</v>
      </c>
      <c r="M295" s="75">
        <v>3</v>
      </c>
      <c r="N295" s="484" t="s">
        <v>1998</v>
      </c>
      <c r="O295" s="2963"/>
      <c r="P295" s="912"/>
      <c r="Q295" s="1090" t="str">
        <f>IF(OR($O295=$M295,$O295=0,$O295=""),"","*CHECK!*")</f>
        <v/>
      </c>
      <c r="R295" s="1192" t="s">
        <v>2723</v>
      </c>
    </row>
    <row r="296" spans="1:27" s="103" customFormat="1" ht="21.75" customHeight="1">
      <c r="B296" s="621" t="s">
        <v>2001</v>
      </c>
      <c r="C296" s="2049" t="s">
        <v>4245</v>
      </c>
      <c r="D296" s="2049"/>
      <c r="E296" s="2049"/>
      <c r="F296" s="2049"/>
      <c r="G296" s="2049"/>
      <c r="H296" s="2049"/>
      <c r="I296" s="2049"/>
      <c r="J296" s="2049"/>
      <c r="K296" s="2049"/>
      <c r="L296" s="2049"/>
      <c r="M296" s="2049"/>
      <c r="N296" s="404" t="s">
        <v>2001</v>
      </c>
      <c r="O296" s="3078"/>
      <c r="P296" s="1241"/>
      <c r="Q296" s="2082" t="s">
        <v>4246</v>
      </c>
      <c r="R296" s="2049"/>
      <c r="S296" s="2049"/>
      <c r="T296" s="2049"/>
      <c r="U296" s="2049"/>
      <c r="V296" s="2049"/>
      <c r="W296" s="2049"/>
      <c r="X296" s="2049"/>
      <c r="Y296" s="2049"/>
      <c r="Z296" s="2049"/>
      <c r="AA296" s="1098"/>
    </row>
    <row r="297" spans="1:27" s="121" customFormat="1" ht="10.5" customHeight="1">
      <c r="B297" s="942"/>
      <c r="C297" s="139" t="s">
        <v>3834</v>
      </c>
      <c r="H297" s="448" t="s">
        <v>2599</v>
      </c>
      <c r="I297" s="3079"/>
      <c r="J297" s="448" t="s">
        <v>2316</v>
      </c>
      <c r="K297" s="3080"/>
      <c r="L297" s="3081"/>
      <c r="M297" s="3081"/>
      <c r="N297" s="3081"/>
      <c r="O297" s="3081"/>
      <c r="P297" s="3082"/>
    </row>
    <row r="298" spans="1:27" s="121" customFormat="1" ht="10.5" customHeight="1">
      <c r="B298" s="942"/>
      <c r="C298" s="139" t="s">
        <v>3889</v>
      </c>
      <c r="H298" s="448" t="s">
        <v>2599</v>
      </c>
      <c r="I298" s="3083"/>
      <c r="J298" s="448" t="s">
        <v>2316</v>
      </c>
      <c r="K298" s="3084"/>
      <c r="L298" s="3085"/>
      <c r="M298" s="3085"/>
      <c r="N298" s="3085"/>
      <c r="O298" s="3085"/>
      <c r="P298" s="3086"/>
    </row>
    <row r="299" spans="1:27" s="121" customFormat="1" ht="10.5" customHeight="1">
      <c r="B299" s="942" t="s">
        <v>2003</v>
      </c>
      <c r="C299" s="121" t="s">
        <v>972</v>
      </c>
      <c r="M299" s="7"/>
      <c r="N299" s="181" t="s">
        <v>2003</v>
      </c>
      <c r="O299" s="2980"/>
      <c r="P299" s="1005"/>
    </row>
    <row r="300" spans="1:27" s="121" customFormat="1" ht="10.5" customHeight="1">
      <c r="B300" s="942" t="s">
        <v>2550</v>
      </c>
      <c r="C300" s="121" t="s">
        <v>973</v>
      </c>
      <c r="M300" s="7"/>
      <c r="N300" s="181" t="s">
        <v>2550</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5" t="s">
        <v>2000</v>
      </c>
      <c r="B302" s="184" t="s">
        <v>4086</v>
      </c>
      <c r="D302" s="620"/>
      <c r="H302" s="62" t="s">
        <v>3412</v>
      </c>
    </row>
    <row r="303" spans="1:27" s="34" customFormat="1" ht="10.5" customHeight="1">
      <c r="A303" s="1585"/>
      <c r="B303" s="947" t="s">
        <v>3632</v>
      </c>
      <c r="D303" s="620"/>
      <c r="H303" s="62"/>
      <c r="M303" s="616">
        <v>3</v>
      </c>
      <c r="N303" s="484" t="s">
        <v>2000</v>
      </c>
      <c r="O303" s="950">
        <f>IF($L$294="Flexible", MIN($M$303, SUM(O304:O305)), 0)</f>
        <v>0</v>
      </c>
      <c r="P303" s="950">
        <f>IF($L$294="Flexible", MIN($M$303, SUM(P304:P305)), 0)</f>
        <v>0</v>
      </c>
    </row>
    <row r="304" spans="1:27" s="34" customFormat="1" ht="10.5" customHeight="1">
      <c r="B304" s="942" t="s">
        <v>2001</v>
      </c>
      <c r="C304" s="618" t="s">
        <v>4088</v>
      </c>
      <c r="L304" s="391" t="str">
        <f>IF(OR($O304=$M304,$O304=0,$O304=""),"","* * Check Score! * *")</f>
        <v/>
      </c>
      <c r="M304" s="75">
        <v>3</v>
      </c>
      <c r="N304" s="450" t="s">
        <v>2001</v>
      </c>
      <c r="O304" s="2967"/>
      <c r="P304" s="555"/>
      <c r="Q304" s="1090" t="str">
        <f>IF(OR($O304=$M304,$O304=0,$O304=""),"","*CHECK!*")</f>
        <v/>
      </c>
      <c r="R304" s="1192" t="s">
        <v>2723</v>
      </c>
    </row>
    <row r="305" spans="1:21" ht="10.5" customHeight="1">
      <c r="A305" s="619" t="s">
        <v>1365</v>
      </c>
      <c r="B305" s="621" t="s">
        <v>2003</v>
      </c>
      <c r="C305" s="455" t="s">
        <v>3633</v>
      </c>
      <c r="D305" s="34"/>
      <c r="E305" s="34"/>
      <c r="F305" s="34"/>
      <c r="G305" s="41"/>
      <c r="H305" s="62"/>
      <c r="I305" s="41"/>
      <c r="L305" s="391" t="str">
        <f>IF(OR($O305=$M305,$O305=0,$O305=""),"","* * Check Score! * *")</f>
        <v/>
      </c>
      <c r="M305" s="83">
        <v>2</v>
      </c>
      <c r="N305" s="948" t="s">
        <v>2003</v>
      </c>
      <c r="O305" s="2968"/>
      <c r="P305" s="557"/>
      <c r="Q305" s="1090" t="str">
        <f>IF(OR($O305=$M305,$O305=0,$O305=""),"","*CHECK!*")</f>
        <v/>
      </c>
      <c r="R305" s="1192" t="s">
        <v>2723</v>
      </c>
    </row>
    <row r="306" spans="1:21" s="34" customFormat="1" ht="10.5" customHeight="1">
      <c r="A306" s="1585" t="s">
        <v>757</v>
      </c>
      <c r="B306" s="184" t="s">
        <v>4087</v>
      </c>
      <c r="D306" s="620"/>
      <c r="H306" s="62" t="s">
        <v>4090</v>
      </c>
    </row>
    <row r="307" spans="1:21" s="34" customFormat="1" ht="10.5" customHeight="1">
      <c r="A307" s="1585"/>
      <c r="B307" s="947" t="s">
        <v>3635</v>
      </c>
      <c r="D307" s="620"/>
      <c r="H307" s="62"/>
      <c r="M307" s="616">
        <v>4</v>
      </c>
      <c r="N307" s="484" t="s">
        <v>757</v>
      </c>
      <c r="O307" s="950">
        <f>IF($L$294="Rural", MIN($M$307, SUM(O308:O310)), 0)</f>
        <v>3</v>
      </c>
      <c r="P307" s="950">
        <f>IF($L$294="Rural", MIN($M$307, SUM(P308:P310)), 0)</f>
        <v>0</v>
      </c>
    </row>
    <row r="308" spans="1:21" s="34" customFormat="1" ht="10.5" customHeight="1">
      <c r="B308" s="942" t="s">
        <v>2001</v>
      </c>
      <c r="C308" s="446" t="s">
        <v>3634</v>
      </c>
      <c r="K308" s="2120" t="str">
        <f>IF(OR(AND(O308&gt;0,O310&gt;0), AND(O309&gt;0,O310&gt;0), AND(O308&gt;0,O309&gt;0)),"Choose option 1 or 2 or 3!!!","")</f>
        <v/>
      </c>
      <c r="L308" s="2120"/>
      <c r="M308" s="75">
        <v>4</v>
      </c>
      <c r="N308" s="450" t="s">
        <v>2001</v>
      </c>
      <c r="O308" s="2967"/>
      <c r="P308" s="555"/>
      <c r="Q308" s="1090" t="str">
        <f>IF(OR($O308=$M308,$O308=0,$O308=""),"","*CHECK!*")</f>
        <v/>
      </c>
      <c r="R308" s="1192" t="s">
        <v>2723</v>
      </c>
    </row>
    <row r="309" spans="1:21" ht="10.5" customHeight="1">
      <c r="A309" s="619" t="s">
        <v>1365</v>
      </c>
      <c r="B309" s="621" t="s">
        <v>2003</v>
      </c>
      <c r="C309" s="618" t="s">
        <v>4089</v>
      </c>
      <c r="D309" s="34"/>
      <c r="E309" s="34"/>
      <c r="F309" s="34"/>
      <c r="G309" s="41"/>
      <c r="H309" s="949"/>
      <c r="I309" s="41"/>
      <c r="K309" s="2120"/>
      <c r="L309" s="2120"/>
      <c r="M309" s="83">
        <v>3</v>
      </c>
      <c r="N309" s="948" t="s">
        <v>2003</v>
      </c>
      <c r="O309" s="3087">
        <v>3</v>
      </c>
      <c r="P309" s="556"/>
      <c r="Q309" s="1090" t="str">
        <f>IF(OR($O309=$M309,$O309=0,$O309=""),"","*CHECK!*")</f>
        <v/>
      </c>
      <c r="R309" s="1192" t="s">
        <v>2723</v>
      </c>
    </row>
    <row r="310" spans="1:21" ht="10.5" customHeight="1">
      <c r="A310" s="619" t="s">
        <v>1365</v>
      </c>
      <c r="B310" s="621" t="s">
        <v>2550</v>
      </c>
      <c r="C310" s="455" t="s">
        <v>3636</v>
      </c>
      <c r="D310" s="34"/>
      <c r="E310" s="34"/>
      <c r="F310" s="34"/>
      <c r="G310" s="41"/>
      <c r="H310" s="62"/>
      <c r="I310" s="41"/>
      <c r="K310" s="2120"/>
      <c r="L310" s="2120"/>
      <c r="M310" s="83">
        <v>2</v>
      </c>
      <c r="N310" s="948" t="s">
        <v>2550</v>
      </c>
      <c r="O310" s="2968"/>
      <c r="P310" s="557"/>
      <c r="Q310" s="1090" t="str">
        <f>IF(OR($O310=$M310,$O310=0,$O310=""),"","*CHECK!*")</f>
        <v/>
      </c>
      <c r="R310" s="1192" t="s">
        <v>2723</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932" t="s">
        <v>4658</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1879</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2844</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1998</v>
      </c>
      <c r="B317" s="172" t="s">
        <v>2248</v>
      </c>
      <c r="D317" s="62"/>
      <c r="E317" s="62"/>
      <c r="F317" s="45"/>
      <c r="G317" s="28"/>
      <c r="L317" s="391" t="str">
        <f>IF(OR($O317=$M317,$O317=0,$O317=""),"","* * Check Score! * *")</f>
        <v/>
      </c>
      <c r="M317" s="7">
        <v>1</v>
      </c>
      <c r="N317" s="484" t="s">
        <v>1998</v>
      </c>
      <c r="O317" s="3088">
        <v>1</v>
      </c>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928" t="s">
        <v>3009</v>
      </c>
      <c r="P318" s="563"/>
      <c r="R318" s="403"/>
      <c r="T318" s="1169"/>
      <c r="U318" s="1169"/>
    </row>
    <row r="319" spans="1:21" s="44" customFormat="1" ht="11.25" customHeight="1">
      <c r="A319" s="143" t="s">
        <v>2000</v>
      </c>
      <c r="B319" s="172" t="s">
        <v>2249</v>
      </c>
      <c r="D319" s="58"/>
      <c r="K319" s="53"/>
      <c r="L319" s="391" t="str">
        <f>IF(OR($O319=$M319,$O319=0,$O319=""),"","* * Check Score! * *")</f>
        <v/>
      </c>
      <c r="M319" s="7">
        <v>1</v>
      </c>
      <c r="N319" s="484" t="s">
        <v>2000</v>
      </c>
      <c r="O319" s="2967"/>
      <c r="P319" s="555"/>
      <c r="Q319" s="1090" t="str">
        <f>IF(OR($O319=$M319,$O319=0,$O319=""),"","*CHECK!*")</f>
        <v/>
      </c>
      <c r="R319" s="1192" t="s">
        <v>2723</v>
      </c>
      <c r="T319" s="1169"/>
      <c r="U319" s="1169"/>
    </row>
    <row r="320" spans="1:21" s="44" customFormat="1" ht="10.5" customHeight="1">
      <c r="A320" s="143"/>
      <c r="B320" s="956" t="s">
        <v>4091</v>
      </c>
      <c r="D320" s="58"/>
      <c r="H320" s="1593"/>
      <c r="K320" s="53"/>
      <c r="L320" s="105"/>
      <c r="M320" s="7"/>
      <c r="N320" s="484"/>
      <c r="O320" s="2928"/>
      <c r="P320" s="563"/>
      <c r="Q320" s="403"/>
      <c r="R320" s="391"/>
      <c r="T320" s="1169"/>
      <c r="U320" s="1169"/>
    </row>
    <row r="321" spans="1:18" s="44" customFormat="1" ht="10.5" customHeight="1">
      <c r="A321" s="43"/>
      <c r="B321" s="88" t="s">
        <v>1879</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2799</v>
      </c>
      <c r="B324" s="109" t="s">
        <v>4092</v>
      </c>
      <c r="C324" s="90"/>
      <c r="D324" s="59"/>
      <c r="E324" s="53"/>
      <c r="G324" s="56"/>
      <c r="M324" s="1584">
        <v>2</v>
      </c>
      <c r="N324" s="6"/>
      <c r="O324" s="6"/>
      <c r="P324" s="1247">
        <f>P325+P330</f>
        <v>0</v>
      </c>
      <c r="Q324" s="112" t="s">
        <v>443</v>
      </c>
    </row>
    <row r="325" spans="1:18" s="44" customFormat="1" ht="12" customHeight="1">
      <c r="A325" s="143" t="s">
        <v>2000</v>
      </c>
      <c r="B325" s="172" t="s">
        <v>4093</v>
      </c>
      <c r="C325" s="90"/>
      <c r="D325" s="59"/>
      <c r="E325" s="53"/>
      <c r="G325" s="508">
        <f>'Part VIII-Threshold Criteria'!I357</f>
        <v>0</v>
      </c>
      <c r="J325" s="41" t="s">
        <v>2702</v>
      </c>
      <c r="L325" s="37"/>
      <c r="O325" s="483" t="str">
        <f>'Part I-Project Information'!$H$96</f>
        <v>No</v>
      </c>
      <c r="P325" s="558"/>
      <c r="Q325" s="112"/>
    </row>
    <row r="326" spans="1:18" s="105" customFormat="1" ht="10.5" customHeight="1">
      <c r="A326" s="143"/>
      <c r="B326" s="389" t="s">
        <v>2001</v>
      </c>
      <c r="C326" s="37" t="s">
        <v>3481</v>
      </c>
      <c r="D326" s="34"/>
      <c r="N326" s="450" t="s">
        <v>2001</v>
      </c>
      <c r="O326" s="2929"/>
      <c r="P326" s="561"/>
      <c r="R326" s="391"/>
    </row>
    <row r="327" spans="1:18" s="105" customFormat="1" ht="10.5" customHeight="1">
      <c r="A327" s="143"/>
      <c r="B327" s="389" t="s">
        <v>2003</v>
      </c>
      <c r="C327" s="37" t="s">
        <v>4112</v>
      </c>
      <c r="D327" s="34"/>
      <c r="N327" s="948" t="s">
        <v>2003</v>
      </c>
      <c r="O327" s="2935"/>
      <c r="P327" s="562"/>
      <c r="R327" s="391"/>
    </row>
    <row r="328" spans="1:18" s="105" customFormat="1" ht="10.5" customHeight="1">
      <c r="A328" s="143"/>
      <c r="B328" s="389" t="s">
        <v>2550</v>
      </c>
      <c r="C328" s="37" t="s">
        <v>4111</v>
      </c>
      <c r="D328" s="34"/>
      <c r="N328" s="948" t="s">
        <v>2550</v>
      </c>
      <c r="O328" s="2935"/>
      <c r="P328" s="562"/>
      <c r="R328" s="391"/>
    </row>
    <row r="329" spans="1:18" s="105" customFormat="1" ht="10.5" customHeight="1">
      <c r="A329" s="143"/>
      <c r="B329" s="389" t="s">
        <v>1236</v>
      </c>
      <c r="C329" s="37" t="s">
        <v>4113</v>
      </c>
      <c r="D329" s="34"/>
      <c r="N329" s="948" t="s">
        <v>1236</v>
      </c>
      <c r="O329" s="2928"/>
      <c r="P329" s="563"/>
      <c r="R329" s="391"/>
    </row>
    <row r="330" spans="1:18" s="44" customFormat="1" ht="12" customHeight="1">
      <c r="A330" s="143" t="s">
        <v>1998</v>
      </c>
      <c r="B330" s="172" t="s">
        <v>4094</v>
      </c>
      <c r="C330" s="90"/>
      <c r="D330" s="59"/>
      <c r="E330" s="53"/>
      <c r="G330" s="508">
        <f>'Part I-Project Information'!E158</f>
        <v>0</v>
      </c>
      <c r="I330" s="508"/>
      <c r="L330" s="1297"/>
      <c r="M330" s="1297"/>
      <c r="N330" s="6"/>
      <c r="P330" s="558"/>
      <c r="Q330" s="112"/>
    </row>
    <row r="331" spans="1:18" s="105" customFormat="1" ht="10.5" customHeight="1">
      <c r="A331" s="159"/>
      <c r="B331" s="389" t="s">
        <v>2001</v>
      </c>
      <c r="C331" s="37" t="s">
        <v>3481</v>
      </c>
      <c r="D331" s="53"/>
      <c r="E331" s="53"/>
      <c r="M331" s="1584"/>
      <c r="N331" s="450" t="s">
        <v>2001</v>
      </c>
      <c r="O331" s="2929"/>
      <c r="P331" s="561"/>
      <c r="Q331" s="112"/>
    </row>
    <row r="332" spans="1:18" s="105" customFormat="1" ht="10.5" customHeight="1">
      <c r="A332" s="143"/>
      <c r="B332" s="389" t="s">
        <v>2003</v>
      </c>
      <c r="C332" s="37" t="s">
        <v>4125</v>
      </c>
      <c r="D332" s="34"/>
      <c r="N332" s="948" t="s">
        <v>2003</v>
      </c>
      <c r="O332" s="2935"/>
      <c r="P332" s="562"/>
      <c r="R332" s="391"/>
    </row>
    <row r="333" spans="1:18" s="105" customFormat="1" ht="10.5" customHeight="1">
      <c r="A333" s="143"/>
      <c r="B333" s="389" t="s">
        <v>2550</v>
      </c>
      <c r="C333" s="37" t="s">
        <v>4113</v>
      </c>
      <c r="D333" s="34"/>
      <c r="N333" s="948" t="s">
        <v>2550</v>
      </c>
      <c r="O333" s="2928"/>
      <c r="P333" s="563"/>
      <c r="R333" s="391"/>
    </row>
    <row r="334" spans="1:18" s="44" customFormat="1" ht="10.5" customHeight="1">
      <c r="B334" s="88" t="s">
        <v>1879</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2266</v>
      </c>
      <c r="B337" s="108" t="s">
        <v>4095</v>
      </c>
      <c r="H337" s="37" t="s">
        <v>3600</v>
      </c>
      <c r="I337" s="1609" t="str">
        <f>'Part I-Project Information'!$H$100</f>
        <v>Rural</v>
      </c>
      <c r="J337" s="1601"/>
      <c r="L337" s="391" t="str">
        <f>IF(OR($O337=$M337,$O337=0,$O337=""),"","* * Check Score! * *")</f>
        <v/>
      </c>
      <c r="M337" s="1584">
        <v>1</v>
      </c>
      <c r="N337" s="410"/>
      <c r="O337" s="3089">
        <v>1</v>
      </c>
      <c r="P337" s="1250"/>
      <c r="Q337" s="112" t="s">
        <v>443</v>
      </c>
      <c r="R337" s="1192" t="s">
        <v>2723</v>
      </c>
    </row>
    <row r="338" spans="1:18" s="64" customFormat="1" ht="12" customHeight="1">
      <c r="A338" s="1892" t="s">
        <v>4193</v>
      </c>
      <c r="B338" s="1892"/>
      <c r="C338" s="1892"/>
      <c r="D338" s="1892"/>
      <c r="E338" s="1892"/>
      <c r="F338" s="1892"/>
      <c r="G338" s="1892"/>
      <c r="H338" s="1892"/>
      <c r="I338" s="2039" t="s">
        <v>4194</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90" t="s">
        <v>4560</v>
      </c>
      <c r="J339" s="3090"/>
      <c r="K339" s="3090"/>
      <c r="L339" s="3090" t="s">
        <v>979</v>
      </c>
      <c r="M339" s="3090"/>
      <c r="N339" s="3090"/>
      <c r="O339" s="3090"/>
      <c r="P339" s="3090"/>
      <c r="R339" s="391"/>
    </row>
    <row r="340" spans="1:18" s="64" customFormat="1" ht="12" customHeight="1">
      <c r="A340" s="1892"/>
      <c r="B340" s="1892"/>
      <c r="C340" s="1892"/>
      <c r="D340" s="1892"/>
      <c r="E340" s="1892"/>
      <c r="F340" s="1892"/>
      <c r="G340" s="1892"/>
      <c r="H340" s="1892"/>
      <c r="I340" s="3091" t="s">
        <v>979</v>
      </c>
      <c r="J340" s="3091"/>
      <c r="K340" s="3091"/>
      <c r="L340" s="3091" t="s">
        <v>979</v>
      </c>
      <c r="M340" s="3091"/>
      <c r="N340" s="3091"/>
      <c r="O340" s="3091"/>
      <c r="P340" s="3091"/>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2" t="s">
        <v>4659</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1879</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4149</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1998</v>
      </c>
      <c r="B347" s="116" t="s">
        <v>3639</v>
      </c>
      <c r="D347" s="91"/>
      <c r="E347" s="91"/>
      <c r="G347" s="53"/>
      <c r="H347" s="1239"/>
      <c r="L347" s="391" t="str">
        <f>IF(OR($O347=$M347,$O347=0,$O347=""),"","* * Check Score! * *")</f>
        <v/>
      </c>
      <c r="M347" s="445">
        <v>1</v>
      </c>
      <c r="N347" s="410" t="str">
        <f>IF(OR($O347=$M347,$O347=0,$O347=""),"","***")</f>
        <v/>
      </c>
      <c r="O347" s="2973">
        <v>1</v>
      </c>
      <c r="P347" s="1231"/>
      <c r="Q347" s="1090" t="str">
        <f>IF(OR($O347=$M347,$O347=0,$O347=""),"","*CHECK!*")</f>
        <v/>
      </c>
      <c r="R347" s="1192" t="s">
        <v>2723</v>
      </c>
    </row>
    <row r="348" spans="1:18" s="44" customFormat="1" ht="11.25" customHeight="1">
      <c r="B348" s="41" t="s">
        <v>4099</v>
      </c>
      <c r="D348" s="105"/>
      <c r="E348" s="91"/>
      <c r="F348" s="53"/>
      <c r="G348" s="53"/>
      <c r="H348" s="3092" t="s">
        <v>2110</v>
      </c>
      <c r="I348" s="3061"/>
      <c r="J348" s="3061"/>
      <c r="K348" s="3093"/>
      <c r="N348" s="484" t="s">
        <v>1998</v>
      </c>
      <c r="O348" s="1297" t="s">
        <v>2526</v>
      </c>
      <c r="P348" s="1297" t="s">
        <v>2526</v>
      </c>
    </row>
    <row r="349" spans="1:18" s="121" customFormat="1" ht="10.5" customHeight="1">
      <c r="B349" s="450" t="s">
        <v>2001</v>
      </c>
      <c r="C349" s="448" t="s">
        <v>4096</v>
      </c>
      <c r="N349" s="450" t="s">
        <v>2001</v>
      </c>
      <c r="O349" s="2929" t="s">
        <v>3009</v>
      </c>
      <c r="P349" s="561"/>
    </row>
    <row r="350" spans="1:18" s="121" customFormat="1" ht="10.5" customHeight="1">
      <c r="B350" s="450" t="s">
        <v>2003</v>
      </c>
      <c r="C350" s="448" t="s">
        <v>4097</v>
      </c>
      <c r="N350" s="450" t="s">
        <v>2003</v>
      </c>
      <c r="O350" s="2935" t="s">
        <v>3009</v>
      </c>
      <c r="P350" s="562"/>
    </row>
    <row r="351" spans="1:18" s="121" customFormat="1" ht="10.5" customHeight="1">
      <c r="B351" s="450" t="s">
        <v>2550</v>
      </c>
      <c r="C351" s="448" t="s">
        <v>4098</v>
      </c>
      <c r="N351" s="450" t="s">
        <v>2550</v>
      </c>
      <c r="O351" s="2928" t="s">
        <v>3009</v>
      </c>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2000</v>
      </c>
      <c r="B354" s="184" t="s">
        <v>2814</v>
      </c>
      <c r="D354" s="34"/>
      <c r="H354" s="2079" t="s">
        <v>3508</v>
      </c>
      <c r="I354" s="2079"/>
      <c r="J354" s="2079"/>
      <c r="K354" s="2079"/>
      <c r="L354" s="2079"/>
      <c r="M354" s="1236">
        <v>1</v>
      </c>
      <c r="N354" s="67" t="s">
        <v>2000</v>
      </c>
      <c r="O354" s="2973"/>
      <c r="P354" s="1231"/>
      <c r="Q354" s="1090" t="str">
        <f>IF(OR($O354=$M354,$O354=0,$O354=""),"","*CHECK!*")</f>
        <v/>
      </c>
      <c r="R354" s="1192" t="s">
        <v>2723</v>
      </c>
    </row>
    <row r="355" spans="1:19" s="34" customFormat="1" ht="10.5" customHeight="1">
      <c r="B355" s="515" t="s">
        <v>2815</v>
      </c>
      <c r="E355" s="620"/>
      <c r="O355" s="2978"/>
      <c r="P355" s="566"/>
      <c r="Q355" s="179"/>
    </row>
    <row r="356" spans="1:19" s="34" customFormat="1" ht="10.5" customHeight="1">
      <c r="A356" s="532"/>
      <c r="B356" s="139" t="s">
        <v>3642</v>
      </c>
      <c r="C356" s="953" t="str">
        <f>'Part I-Project Information'!$F$38</f>
        <v>Moultrie</v>
      </c>
      <c r="E356" s="139" t="s">
        <v>3507</v>
      </c>
      <c r="F356" s="953" t="str">
        <f>'Part I-Project Information'!$J$39</f>
        <v>Colquitt</v>
      </c>
      <c r="H356" s="448" t="s">
        <v>455</v>
      </c>
      <c r="I356" s="910" t="str">
        <f>'Part I-Project Information'!$N$39</f>
        <v>Yes</v>
      </c>
      <c r="K356" s="448" t="s">
        <v>3641</v>
      </c>
      <c r="L356" s="2058" t="str">
        <f>'Part I-Project Information'!$O$38</f>
        <v>13071970702</v>
      </c>
      <c r="M356" s="2058"/>
      <c r="N356" s="2058"/>
      <c r="O356" s="2058"/>
      <c r="P356" s="2058"/>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33.75" customHeight="1" thickTop="1" thickBot="1">
      <c r="A358" s="2932" t="s">
        <v>4685</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1879</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4150</v>
      </c>
      <c r="B362" s="108" t="s">
        <v>4102</v>
      </c>
      <c r="D362" s="91"/>
      <c r="E362" s="91"/>
      <c r="F362" s="53"/>
      <c r="G362" s="53"/>
      <c r="H362" s="172" t="s">
        <v>2811</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2900</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2080" t="str">
        <f>IF(OR(O364="No",O364="",O365="No",O365="",O366="No",O366="",O367="No",O367=""),"Unmet criterion results in no points!","")</f>
        <v>Unmet criterion results in no points!</v>
      </c>
      <c r="M364" s="2080"/>
      <c r="N364" s="390" t="s">
        <v>2450</v>
      </c>
      <c r="O364" s="2929"/>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2451</v>
      </c>
      <c r="C365" s="446" t="s">
        <v>3837</v>
      </c>
      <c r="L365" s="2080"/>
      <c r="M365" s="2080"/>
      <c r="N365" s="402" t="s">
        <v>2451</v>
      </c>
      <c r="O365" s="2935"/>
      <c r="P365" s="562"/>
      <c r="R365" s="2078"/>
      <c r="S365" s="2078"/>
    </row>
    <row r="366" spans="1:19" s="103" customFormat="1" ht="10.5" customHeight="1">
      <c r="B366" s="390" t="s">
        <v>2452</v>
      </c>
      <c r="C366" s="446" t="s">
        <v>3836</v>
      </c>
      <c r="L366" s="2080"/>
      <c r="M366" s="2080"/>
      <c r="N366" s="390" t="s">
        <v>2452</v>
      </c>
      <c r="O366" s="2935"/>
      <c r="P366" s="562"/>
      <c r="R366" s="2078"/>
      <c r="S366" s="2078"/>
    </row>
    <row r="367" spans="1:19" s="103" customFormat="1" ht="29.25" customHeight="1">
      <c r="B367" s="402" t="s">
        <v>2453</v>
      </c>
      <c r="C367" s="2015" t="s">
        <v>4103</v>
      </c>
      <c r="D367" s="2015"/>
      <c r="E367" s="2015"/>
      <c r="F367" s="2015"/>
      <c r="G367" s="2015"/>
      <c r="H367" s="2015"/>
      <c r="I367" s="2015"/>
      <c r="J367" s="2015"/>
      <c r="K367" s="2015"/>
      <c r="L367" s="2015"/>
      <c r="M367" s="2015"/>
      <c r="N367" s="402" t="s">
        <v>2453</v>
      </c>
      <c r="O367" s="3094"/>
      <c r="P367" s="1282"/>
    </row>
    <row r="368" spans="1:19" ht="3" customHeight="1">
      <c r="C368" s="2015"/>
      <c r="D368" s="2015"/>
      <c r="E368" s="2015"/>
      <c r="F368" s="2015"/>
      <c r="G368" s="2015"/>
      <c r="H368" s="2015"/>
      <c r="I368" s="2015"/>
      <c r="J368" s="2015"/>
      <c r="K368" s="2015"/>
      <c r="L368" s="2015"/>
      <c r="M368" s="2015"/>
    </row>
    <row r="369" spans="1:18" ht="11.25" customHeight="1">
      <c r="A369" s="1124" t="s">
        <v>1998</v>
      </c>
      <c r="B369" s="184" t="s">
        <v>4104</v>
      </c>
      <c r="L369" s="391" t="str">
        <f>IF(OR($O369=$M369,$O369=0,$O369=""),"","* * Check Score! * *")</f>
        <v/>
      </c>
      <c r="M369" s="1236">
        <v>3</v>
      </c>
      <c r="N369" s="484" t="s">
        <v>1998</v>
      </c>
      <c r="O369" s="2963"/>
      <c r="P369" s="912"/>
      <c r="Q369" s="1090" t="str">
        <f>IF(OR($O369=$M369,$O369=0,$O369=""),"","*CHECK!*")</f>
        <v/>
      </c>
      <c r="R369" s="1192" t="s">
        <v>2723</v>
      </c>
    </row>
    <row r="370" spans="1:18" ht="22.5" customHeight="1">
      <c r="A370" s="1124"/>
      <c r="B370" s="456" t="s">
        <v>2001</v>
      </c>
      <c r="C370" s="2049" t="s">
        <v>4105</v>
      </c>
      <c r="D370" s="2049"/>
      <c r="E370" s="2049"/>
      <c r="F370" s="2049"/>
      <c r="G370" s="2049"/>
      <c r="H370" s="2049"/>
      <c r="I370" s="2049"/>
      <c r="J370" s="2026" t="s">
        <v>2005</v>
      </c>
      <c r="K370" s="2026"/>
      <c r="M370" s="2026" t="s">
        <v>2005</v>
      </c>
      <c r="N370" s="2026"/>
      <c r="O370" s="2026"/>
      <c r="P370" s="2026"/>
    </row>
    <row r="371" spans="1:18" s="44" customFormat="1" ht="10.5" customHeight="1">
      <c r="A371" s="182"/>
      <c r="B371" s="390" t="s">
        <v>2450</v>
      </c>
      <c r="C371" s="37" t="s">
        <v>1494</v>
      </c>
      <c r="I371" s="390" t="s">
        <v>2450</v>
      </c>
      <c r="J371" s="3095"/>
      <c r="K371" s="3096"/>
      <c r="L371" s="390" t="s">
        <v>2450</v>
      </c>
      <c r="M371" s="2089"/>
      <c r="N371" s="2090"/>
      <c r="O371" s="2090"/>
      <c r="P371" s="2091"/>
      <c r="R371" s="391"/>
    </row>
    <row r="372" spans="1:18" ht="10.5" customHeight="1">
      <c r="A372" s="183"/>
      <c r="B372" s="402" t="s">
        <v>2451</v>
      </c>
      <c r="C372" s="37" t="s">
        <v>3646</v>
      </c>
      <c r="I372" s="402" t="s">
        <v>2451</v>
      </c>
      <c r="J372" s="3097"/>
      <c r="K372" s="3098"/>
      <c r="L372" s="402" t="s">
        <v>2451</v>
      </c>
      <c r="M372" s="2036"/>
      <c r="N372" s="2037"/>
      <c r="O372" s="2037"/>
      <c r="P372" s="2038"/>
      <c r="R372" s="391"/>
    </row>
    <row r="373" spans="1:18" ht="10.5" customHeight="1">
      <c r="B373" s="390" t="s">
        <v>2452</v>
      </c>
      <c r="C373" s="37" t="s">
        <v>2642</v>
      </c>
      <c r="I373" s="390" t="s">
        <v>2452</v>
      </c>
      <c r="J373" s="3097"/>
      <c r="K373" s="3098"/>
      <c r="L373" s="390" t="s">
        <v>2452</v>
      </c>
      <c r="M373" s="2036"/>
      <c r="N373" s="2037"/>
      <c r="O373" s="2037"/>
      <c r="P373" s="2038"/>
      <c r="R373" s="391"/>
    </row>
    <row r="374" spans="1:18" ht="10.5" customHeight="1">
      <c r="A374" s="183"/>
      <c r="B374" s="390" t="s">
        <v>2453</v>
      </c>
      <c r="C374" s="37" t="s">
        <v>3482</v>
      </c>
      <c r="I374" s="390" t="s">
        <v>2453</v>
      </c>
      <c r="J374" s="3097"/>
      <c r="K374" s="3098"/>
      <c r="L374" s="390" t="s">
        <v>2453</v>
      </c>
      <c r="M374" s="2036"/>
      <c r="N374" s="2037"/>
      <c r="O374" s="2037"/>
      <c r="P374" s="2038"/>
      <c r="R374" s="391"/>
    </row>
    <row r="375" spans="1:18" s="44" customFormat="1" ht="10.5" customHeight="1">
      <c r="A375" s="182"/>
      <c r="B375" s="402" t="s">
        <v>2454</v>
      </c>
      <c r="C375" s="37" t="s">
        <v>2748</v>
      </c>
      <c r="I375" s="402" t="s">
        <v>2454</v>
      </c>
      <c r="J375" s="3097"/>
      <c r="K375" s="3098"/>
      <c r="L375" s="402" t="s">
        <v>2454</v>
      </c>
      <c r="M375" s="2036"/>
      <c r="N375" s="2037"/>
      <c r="O375" s="2037"/>
      <c r="P375" s="2038"/>
      <c r="R375" s="391"/>
    </row>
    <row r="376" spans="1:18" ht="10.5" customHeight="1">
      <c r="B376" s="390" t="s">
        <v>2470</v>
      </c>
      <c r="C376" s="37" t="s">
        <v>1493</v>
      </c>
      <c r="I376" s="390" t="s">
        <v>2470</v>
      </c>
      <c r="J376" s="3097"/>
      <c r="K376" s="3098"/>
      <c r="L376" s="390" t="s">
        <v>2470</v>
      </c>
      <c r="M376" s="2036"/>
      <c r="N376" s="2037"/>
      <c r="O376" s="2037"/>
      <c r="P376" s="2038"/>
      <c r="R376" s="391"/>
    </row>
    <row r="377" spans="1:18" ht="10.5" customHeight="1">
      <c r="A377" s="183"/>
      <c r="B377" s="390" t="s">
        <v>2471</v>
      </c>
      <c r="C377" s="37" t="s">
        <v>3644</v>
      </c>
      <c r="I377" s="390" t="s">
        <v>2471</v>
      </c>
      <c r="J377" s="3097"/>
      <c r="K377" s="3098"/>
      <c r="L377" s="390" t="s">
        <v>2471</v>
      </c>
      <c r="M377" s="2036"/>
      <c r="N377" s="2037"/>
      <c r="O377" s="2037"/>
      <c r="P377" s="2038"/>
      <c r="R377" s="391"/>
    </row>
    <row r="378" spans="1:18" ht="10.5" customHeight="1">
      <c r="A378" s="183"/>
      <c r="B378" s="401" t="s">
        <v>2472</v>
      </c>
      <c r="C378" s="37" t="s">
        <v>4108</v>
      </c>
      <c r="I378" s="401" t="s">
        <v>2472</v>
      </c>
      <c r="J378" s="3097"/>
      <c r="K378" s="3098"/>
      <c r="L378" s="401" t="s">
        <v>2472</v>
      </c>
      <c r="M378" s="2036"/>
      <c r="N378" s="2037"/>
      <c r="O378" s="2037"/>
      <c r="P378" s="2038"/>
      <c r="R378" s="391"/>
    </row>
    <row r="379" spans="1:18" ht="10.5" customHeight="1">
      <c r="B379" s="401" t="s">
        <v>2473</v>
      </c>
      <c r="C379" s="37" t="s">
        <v>3645</v>
      </c>
      <c r="I379" s="401" t="s">
        <v>2473</v>
      </c>
      <c r="J379" s="3097"/>
      <c r="K379" s="3098"/>
      <c r="L379" s="401" t="s">
        <v>2473</v>
      </c>
      <c r="M379" s="2036"/>
      <c r="N379" s="2037"/>
      <c r="O379" s="2037"/>
      <c r="P379" s="2038"/>
      <c r="R379" s="391"/>
    </row>
    <row r="380" spans="1:18" ht="10.5" customHeight="1" thickBot="1">
      <c r="B380" s="401" t="s">
        <v>3647</v>
      </c>
      <c r="C380" s="37" t="s">
        <v>4187</v>
      </c>
      <c r="I380" s="401" t="s">
        <v>3647</v>
      </c>
      <c r="J380" s="3097"/>
      <c r="K380" s="3098"/>
      <c r="L380" s="401" t="s">
        <v>3647</v>
      </c>
      <c r="M380" s="2027"/>
      <c r="N380" s="2028"/>
      <c r="O380" s="2028"/>
      <c r="P380" s="2029"/>
      <c r="R380" s="391"/>
    </row>
    <row r="381" spans="1:18" ht="10.5" customHeight="1" thickBot="1">
      <c r="A381" s="183"/>
      <c r="B381" s="1295" t="s">
        <v>4109</v>
      </c>
      <c r="H381" s="1331" t="s">
        <v>2644</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2003</v>
      </c>
      <c r="C383" s="539" t="s">
        <v>2643</v>
      </c>
      <c r="E383" s="448" t="s">
        <v>2645</v>
      </c>
      <c r="H383" s="3099"/>
      <c r="I383" s="1230"/>
      <c r="J383" s="2066">
        <f>'Part IV-A-Uses of Funds'!$G$132</f>
        <v>10134678</v>
      </c>
      <c r="K383" s="2067"/>
      <c r="M383" s="526"/>
      <c r="N383" s="526"/>
      <c r="O383" s="164"/>
      <c r="P383" s="526"/>
    </row>
    <row r="384" spans="1:18" ht="10.5" customHeight="1">
      <c r="A384" s="2033" t="s">
        <v>4301</v>
      </c>
      <c r="B384" s="2033"/>
      <c r="C384" s="2033"/>
      <c r="D384" s="2033"/>
      <c r="E384" s="453" t="s">
        <v>2646</v>
      </c>
      <c r="H384" s="3100"/>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4300</v>
      </c>
      <c r="H385" s="3101"/>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2000</v>
      </c>
      <c r="B387" s="186" t="s">
        <v>3648</v>
      </c>
      <c r="D387" s="40"/>
      <c r="E387" s="37"/>
      <c r="F387" s="941"/>
      <c r="H387" s="37"/>
      <c r="I387" s="941"/>
      <c r="J387" s="956"/>
      <c r="K387" s="956"/>
      <c r="L387" s="391" t="str">
        <f>IF(OR($O387=$M387,$O387=0,$O387=""),"","* * Check Score! * *")</f>
        <v/>
      </c>
      <c r="M387" s="627">
        <v>1</v>
      </c>
      <c r="N387" s="67" t="s">
        <v>2000</v>
      </c>
      <c r="O387" s="2973"/>
      <c r="P387" s="1231"/>
      <c r="Q387" s="112" t="s">
        <v>443</v>
      </c>
      <c r="R387" s="1192" t="s">
        <v>2723</v>
      </c>
      <c r="V387" s="1169"/>
      <c r="W387" s="1169"/>
    </row>
    <row r="388" spans="1:23" s="44" customFormat="1" ht="22.5" customHeight="1">
      <c r="A388" s="143"/>
      <c r="B388" s="1102" t="s">
        <v>2450</v>
      </c>
      <c r="C388" s="1892" t="s">
        <v>4106</v>
      </c>
      <c r="D388" s="1892"/>
      <c r="E388" s="1892"/>
      <c r="F388" s="1892"/>
      <c r="G388" s="1892"/>
      <c r="H388" s="1892"/>
      <c r="I388" s="1892"/>
      <c r="J388" s="1892"/>
      <c r="K388" s="1892"/>
      <c r="L388" s="1892"/>
      <c r="M388" s="1892"/>
      <c r="N388" s="402" t="s">
        <v>2450</v>
      </c>
      <c r="O388" s="3102"/>
      <c r="P388" s="1248"/>
      <c r="V388" s="1169"/>
      <c r="W388" s="1169"/>
    </row>
    <row r="389" spans="1:23" s="44" customFormat="1" ht="10.5" customHeight="1">
      <c r="A389" s="143"/>
      <c r="B389" s="390" t="s">
        <v>2451</v>
      </c>
      <c r="C389" s="53" t="s">
        <v>3829</v>
      </c>
      <c r="D389" s="53"/>
      <c r="E389" s="53"/>
      <c r="F389" s="53"/>
      <c r="G389" s="53"/>
      <c r="H389" s="53"/>
      <c r="I389" s="53"/>
      <c r="J389" s="53"/>
      <c r="K389" s="53"/>
      <c r="M389" s="53"/>
      <c r="N389" s="402" t="s">
        <v>2451</v>
      </c>
      <c r="O389" s="2928"/>
      <c r="P389" s="563"/>
      <c r="V389" s="1169"/>
      <c r="W389" s="1169"/>
    </row>
    <row r="390" spans="1:23" ht="10.5" customHeight="1">
      <c r="B390" s="390" t="s">
        <v>2452</v>
      </c>
      <c r="C390" s="446" t="s">
        <v>4107</v>
      </c>
      <c r="N390" s="390" t="s">
        <v>2452</v>
      </c>
      <c r="O390" s="2928"/>
      <c r="P390" s="563"/>
    </row>
    <row r="391" spans="1:23" ht="12" customHeight="1" thickBot="1">
      <c r="B391" s="1332" t="s">
        <v>3780</v>
      </c>
    </row>
    <row r="392" spans="1:23" s="44" customFormat="1" ht="21.75" customHeight="1" thickTop="1" thickBot="1">
      <c r="A392" s="2932" t="s">
        <v>4667</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1879</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4148</v>
      </c>
      <c r="C396" s="109" t="s">
        <v>2736</v>
      </c>
      <c r="D396" s="59"/>
      <c r="E396" s="53"/>
      <c r="J396" s="62"/>
      <c r="M396" s="1584">
        <v>3</v>
      </c>
      <c r="N396" s="6"/>
      <c r="O396" s="1194">
        <f>MIN($M396,O397+O405)</f>
        <v>2</v>
      </c>
      <c r="P396" s="1247">
        <f>MIN($M396,P397+P405)</f>
        <v>0</v>
      </c>
      <c r="Q396" s="112" t="s">
        <v>443</v>
      </c>
    </row>
    <row r="397" spans="1:23" s="44" customFormat="1" ht="12" customHeight="1">
      <c r="A397" s="143" t="s">
        <v>1998</v>
      </c>
      <c r="B397" s="172" t="s">
        <v>3674</v>
      </c>
      <c r="D397" s="34"/>
      <c r="E397" s="34"/>
      <c r="F397" s="34"/>
      <c r="J397" s="1336" t="s">
        <v>3840</v>
      </c>
      <c r="K397" s="1337"/>
      <c r="L397" s="1125">
        <f>'Part VI-Revenues &amp; Expenses'!$O$62*0.1</f>
        <v>5</v>
      </c>
      <c r="M397" s="6">
        <v>2</v>
      </c>
      <c r="N397" s="484" t="s">
        <v>1998</v>
      </c>
      <c r="O397" s="1246">
        <f>IF(AND($M$398="",O398="Agree",O401="Yes",O402="Yes",O403="Yes"),$M$397,0)</f>
        <v>2</v>
      </c>
      <c r="P397" s="1246">
        <f>IF(AND(P398="Agree",P401="Yes",P402="Yes",P403="Yes"),$M$397,0)</f>
        <v>0</v>
      </c>
      <c r="Q397" s="403"/>
      <c r="R397" s="112"/>
    </row>
    <row r="398" spans="1:23" s="427" customFormat="1" ht="11.25" customHeight="1">
      <c r="A398" s="148"/>
      <c r="B398" s="456" t="s">
        <v>2001</v>
      </c>
      <c r="C398" s="1893" t="s">
        <v>3839</v>
      </c>
      <c r="D398" s="1893"/>
      <c r="E398" s="1893"/>
      <c r="F398" s="1893"/>
      <c r="G398" s="1893"/>
      <c r="H398" s="1893"/>
      <c r="I398" s="1893"/>
      <c r="J398" s="1338" t="s">
        <v>3842</v>
      </c>
      <c r="K398" s="1334"/>
      <c r="L398" s="1127">
        <f>'Part VI-Revenues &amp; Expenses'!$O$58</f>
        <v>50</v>
      </c>
      <c r="M398" s="2092" t="str">
        <f>IF(L400&lt;L399,"Check 1BR LI count!","")</f>
        <v/>
      </c>
      <c r="N398" s="404" t="s">
        <v>2001</v>
      </c>
      <c r="O398" s="3067" t="s">
        <v>4635</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5</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6</v>
      </c>
      <c r="M400" s="2092"/>
      <c r="N400" s="404"/>
      <c r="O400" s="404"/>
      <c r="P400" s="404"/>
      <c r="Q400" s="541"/>
      <c r="R400" s="535"/>
    </row>
    <row r="401" spans="1:18" s="451" customFormat="1" ht="11.25" customHeight="1">
      <c r="A401" s="552"/>
      <c r="B401" s="456" t="s">
        <v>2003</v>
      </c>
      <c r="C401" s="2073" t="s">
        <v>3414</v>
      </c>
      <c r="D401" s="2073"/>
      <c r="E401" s="2073"/>
      <c r="F401" s="2073"/>
      <c r="G401" s="2073"/>
      <c r="H401" s="2073"/>
      <c r="I401" s="2073"/>
      <c r="J401" s="2073"/>
      <c r="K401" s="2073"/>
      <c r="L401" s="2073"/>
      <c r="M401" s="2073"/>
      <c r="N401" s="404" t="s">
        <v>2003</v>
      </c>
      <c r="O401" s="2929" t="s">
        <v>3009</v>
      </c>
      <c r="P401" s="561"/>
    </row>
    <row r="402" spans="1:18" s="451" customFormat="1" ht="11.25" customHeight="1">
      <c r="A402" s="552"/>
      <c r="B402" s="456" t="s">
        <v>2550</v>
      </c>
      <c r="C402" s="405" t="s">
        <v>3841</v>
      </c>
      <c r="D402" s="405"/>
      <c r="E402" s="405"/>
      <c r="F402" s="405"/>
      <c r="G402" s="405"/>
      <c r="H402" s="405"/>
      <c r="I402" s="405"/>
      <c r="J402" s="405"/>
      <c r="K402" s="405"/>
      <c r="L402" s="405"/>
      <c r="M402" s="405"/>
      <c r="N402" s="404" t="s">
        <v>2550</v>
      </c>
      <c r="O402" s="2935" t="s">
        <v>3009</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928" t="s">
        <v>3009</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2000</v>
      </c>
      <c r="B405" s="172" t="s">
        <v>2737</v>
      </c>
      <c r="D405" s="41"/>
      <c r="G405" s="37"/>
      <c r="M405" s="6">
        <v>3</v>
      </c>
      <c r="N405" s="484" t="s">
        <v>2000</v>
      </c>
      <c r="O405" s="1130">
        <f>IF(AND(O406="Agree",O408="Agree",$M$408&gt;=15%),$M$405,0)</f>
        <v>0</v>
      </c>
      <c r="P405" s="1130">
        <f>IF(AND(P406="Agree",P408="Agree",$M$408&gt;=15%),$M$405,0)</f>
        <v>0</v>
      </c>
      <c r="Q405" s="403"/>
      <c r="R405" s="391"/>
    </row>
    <row r="406" spans="1:18" s="427" customFormat="1" ht="22.5" customHeight="1">
      <c r="A406" s="148"/>
      <c r="B406" s="456" t="s">
        <v>2001</v>
      </c>
      <c r="C406" s="1893" t="s">
        <v>3861</v>
      </c>
      <c r="D406" s="1893"/>
      <c r="E406" s="1893"/>
      <c r="F406" s="1893"/>
      <c r="G406" s="1893"/>
      <c r="H406" s="1893"/>
      <c r="I406" s="1893"/>
      <c r="J406" s="1893"/>
      <c r="K406" s="1893"/>
      <c r="L406" s="1893"/>
      <c r="M406" s="622"/>
      <c r="N406" s="404" t="s">
        <v>2001</v>
      </c>
      <c r="O406" s="3067"/>
      <c r="P406" s="1262"/>
      <c r="Q406" s="541"/>
      <c r="R406" s="535"/>
    </row>
    <row r="407" spans="1:18" s="427" customFormat="1" ht="11.25" customHeight="1">
      <c r="A407" s="148"/>
      <c r="B407" s="456"/>
      <c r="C407" s="498" t="s">
        <v>3679</v>
      </c>
      <c r="D407" s="1596"/>
      <c r="E407" s="1596"/>
      <c r="F407" s="1596"/>
      <c r="G407" s="3103"/>
      <c r="H407" s="3104"/>
      <c r="I407" s="3105"/>
      <c r="J407" s="1369" t="s">
        <v>3680</v>
      </c>
      <c r="L407" s="3106"/>
      <c r="M407" s="622"/>
      <c r="N407" s="404"/>
      <c r="O407" s="404"/>
      <c r="P407" s="404"/>
      <c r="Q407" s="541"/>
      <c r="R407" s="535"/>
    </row>
    <row r="408" spans="1:18" s="451" customFormat="1" ht="11.25" customHeight="1">
      <c r="A408" s="552"/>
      <c r="B408" s="456" t="s">
        <v>2003</v>
      </c>
      <c r="C408" s="405" t="s">
        <v>3415</v>
      </c>
      <c r="D408" s="405"/>
      <c r="E408" s="405"/>
      <c r="F408" s="405"/>
      <c r="G408" s="405"/>
      <c r="H408" s="405"/>
      <c r="I408" s="405"/>
      <c r="J408" s="405" t="s">
        <v>3678</v>
      </c>
      <c r="K408" s="405"/>
      <c r="L408" s="3107">
        <v>0</v>
      </c>
      <c r="M408" s="973">
        <f>IF('Part VI-Revenues &amp; Expenses'!$O$62=0,0,L408/'Part VI-Revenues &amp; Expenses'!$O$62)</f>
        <v>0</v>
      </c>
      <c r="N408" s="404" t="s">
        <v>2003</v>
      </c>
      <c r="O408" s="3067"/>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2" t="s">
        <v>4660</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1879</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4151</v>
      </c>
      <c r="B414" s="108" t="s">
        <v>2738</v>
      </c>
      <c r="D414" s="41"/>
      <c r="G414" s="62" t="s">
        <v>3411</v>
      </c>
      <c r="J414" s="37" t="s">
        <v>3417</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3483</v>
      </c>
      <c r="D416" s="3092" t="s">
        <v>2921</v>
      </c>
      <c r="E416" s="3061"/>
      <c r="F416" s="3061"/>
      <c r="G416" s="3061"/>
      <c r="H416" s="3061"/>
      <c r="I416" s="3093"/>
      <c r="J416" s="405" t="s">
        <v>2848</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1998</v>
      </c>
      <c r="B418" s="89" t="s">
        <v>3700</v>
      </c>
      <c r="C418" s="405"/>
      <c r="D418" s="405"/>
      <c r="E418" s="405"/>
      <c r="F418" s="405"/>
      <c r="G418" s="405"/>
      <c r="H418" s="405"/>
      <c r="I418" s="405"/>
      <c r="M418" s="428">
        <v>1</v>
      </c>
      <c r="N418" s="166" t="s">
        <v>1998</v>
      </c>
      <c r="O418" s="2963"/>
      <c r="P418" s="912"/>
      <c r="Q418" s="1090" t="str">
        <f>IF(OR($O418=$M418,$O418=0,$O418=""),"","*CHECK!*")</f>
        <v/>
      </c>
      <c r="R418" s="1192" t="s">
        <v>2723</v>
      </c>
    </row>
    <row r="419" spans="1:19" s="427" customFormat="1" ht="12" customHeight="1">
      <c r="A419" s="426"/>
      <c r="B419" s="2064" t="s">
        <v>4247</v>
      </c>
      <c r="C419" s="2064"/>
      <c r="D419" s="2064"/>
      <c r="E419" s="2064"/>
      <c r="F419" s="2064"/>
      <c r="G419" s="2064"/>
      <c r="H419" s="2064"/>
      <c r="I419" s="2064"/>
      <c r="J419" s="2064"/>
      <c r="K419" s="2064"/>
      <c r="L419" s="2064"/>
      <c r="M419" s="1893" t="s">
        <v>4249</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2846</v>
      </c>
      <c r="N421" s="428"/>
      <c r="O421" s="2074">
        <f>'Part VI-Revenues &amp; Expenses'!$O$62</f>
        <v>50</v>
      </c>
      <c r="P421" s="2075"/>
      <c r="Q421" s="179"/>
    </row>
    <row r="422" spans="1:19" s="427" customFormat="1" ht="12" customHeight="1">
      <c r="B422" s="2065"/>
      <c r="C422" s="2065"/>
      <c r="D422" s="2065"/>
      <c r="E422" s="2065"/>
      <c r="F422" s="2065"/>
      <c r="G422" s="2065"/>
      <c r="H422" s="2065"/>
      <c r="I422" s="2065"/>
      <c r="J422" s="2065"/>
      <c r="K422" s="2065"/>
      <c r="L422" s="2065"/>
      <c r="M422" s="550" t="s">
        <v>2847</v>
      </c>
      <c r="N422" s="428"/>
      <c r="O422" s="2060">
        <f>IF(O421=0,0,O420/O421)</f>
        <v>0</v>
      </c>
      <c r="P422" s="2061"/>
      <c r="Q422" s="179"/>
    </row>
    <row r="423" spans="1:19" s="44" customFormat="1" ht="66.75" customHeight="1">
      <c r="A423" s="552"/>
      <c r="B423" s="3108" t="s">
        <v>4254</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3377</v>
      </c>
      <c r="C425" s="144"/>
      <c r="D425" s="924"/>
      <c r="H425" s="405"/>
      <c r="M425" s="428">
        <v>1</v>
      </c>
      <c r="N425" s="166" t="s">
        <v>2000</v>
      </c>
      <c r="O425" s="2963"/>
      <c r="P425" s="912"/>
      <c r="Q425" s="1090" t="str">
        <f>IF(OR($O425=$M425,$O425=0,$O425=""),"","*CHECK!*")</f>
        <v/>
      </c>
      <c r="R425" s="1192" t="s">
        <v>2723</v>
      </c>
    </row>
    <row r="426" spans="1:19" s="427" customFormat="1" ht="11.25" customHeight="1">
      <c r="A426" s="553"/>
      <c r="B426" s="1892" t="s">
        <v>4248</v>
      </c>
      <c r="C426" s="1892"/>
      <c r="D426" s="1892"/>
      <c r="E426" s="1892"/>
      <c r="F426" s="1892"/>
      <c r="G426" s="1892"/>
      <c r="H426" s="1892"/>
      <c r="I426" s="1892"/>
      <c r="J426" s="1892"/>
      <c r="K426" s="1892"/>
      <c r="L426" s="1892"/>
      <c r="M426" s="498" t="s">
        <v>2846</v>
      </c>
      <c r="N426" s="428"/>
      <c r="O426" s="2062">
        <f>'Part VI-Revenues &amp; Expenses'!$O$62</f>
        <v>50</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2847</v>
      </c>
      <c r="N427" s="428"/>
      <c r="O427" s="2060">
        <f>IF(O426=0,0,L414/O426)</f>
        <v>0</v>
      </c>
      <c r="P427" s="206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2" t="s">
        <v>4668</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1879</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3111"/>
      <c r="P436" s="1251"/>
      <c r="Q436" s="112"/>
    </row>
    <row r="437" spans="1:18" s="105" customFormat="1" ht="10.5" customHeight="1">
      <c r="A437" s="159"/>
      <c r="B437" s="89" t="s">
        <v>3684</v>
      </c>
      <c r="D437" s="46"/>
      <c r="E437" s="46"/>
      <c r="F437" s="40"/>
      <c r="G437" s="37"/>
      <c r="I437" s="37"/>
      <c r="J437" s="37"/>
      <c r="K437" s="37"/>
      <c r="L437" s="391"/>
      <c r="M437" s="1584"/>
      <c r="N437" s="6"/>
      <c r="O437" s="3112"/>
      <c r="P437" s="557"/>
      <c r="Q437" s="112"/>
    </row>
    <row r="438" spans="1:18" s="105" customFormat="1" ht="10.5" customHeight="1">
      <c r="A438" s="69"/>
      <c r="B438" s="69" t="s">
        <v>1879</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3"/>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2104</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2560</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2105</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2106</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2107</v>
      </c>
      <c r="D457" s="469"/>
      <c r="E457" s="469"/>
      <c r="F457" s="469"/>
      <c r="G457" s="469"/>
      <c r="H457" s="469"/>
      <c r="I457" s="469"/>
      <c r="J457" s="1319" t="s">
        <v>2520</v>
      </c>
      <c r="K457" s="469"/>
      <c r="L457" s="469"/>
      <c r="M457" s="469"/>
      <c r="N457" s="470"/>
      <c r="O457" s="1318"/>
      <c r="P457" s="1318"/>
      <c r="Q457" s="1228"/>
      <c r="T457" s="164"/>
      <c r="U457" s="164"/>
      <c r="V457" s="164"/>
      <c r="W457" s="164"/>
      <c r="X457" s="164"/>
    </row>
    <row r="458" spans="1:24" s="503" customFormat="1">
      <c r="A458" s="164"/>
      <c r="B458" s="164"/>
      <c r="C458" s="1320" t="s">
        <v>2108</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2148</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2143</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2144</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2145</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2146</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2147</v>
      </c>
      <c r="D470" s="469"/>
      <c r="E470" s="469"/>
      <c r="F470" s="469"/>
      <c r="G470" s="469"/>
      <c r="H470" s="469"/>
      <c r="I470" s="469"/>
      <c r="J470" s="1322" t="s">
        <v>3435</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3436</v>
      </c>
      <c r="K471" s="469"/>
      <c r="L471" s="469"/>
      <c r="M471" s="469"/>
      <c r="N471" s="470"/>
      <c r="O471" s="1318"/>
      <c r="P471" s="1318"/>
      <c r="Q471" s="1228"/>
      <c r="T471" s="164"/>
      <c r="U471" s="164"/>
      <c r="V471" s="164"/>
      <c r="W471" s="164"/>
      <c r="X471" s="164"/>
    </row>
    <row r="472" spans="3:24" s="503" customFormat="1">
      <c r="C472" s="1229" t="s">
        <v>2297</v>
      </c>
      <c r="D472" s="469"/>
      <c r="E472" s="469"/>
      <c r="F472" s="469"/>
      <c r="G472" s="469"/>
      <c r="H472" s="469"/>
      <c r="I472" s="469"/>
      <c r="J472" s="469" t="s">
        <v>3420</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3421</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3422</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1515</v>
      </c>
      <c r="H475" s="1324"/>
      <c r="I475" s="1323"/>
      <c r="J475" s="469" t="s">
        <v>3423</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2538</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1795</v>
      </c>
      <c r="H477" s="1324"/>
      <c r="I477" s="1327"/>
      <c r="J477" s="1324" t="s">
        <v>3424</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1649</v>
      </c>
      <c r="H478" s="1324"/>
      <c r="I478" s="1327"/>
      <c r="J478" s="1324" t="s">
        <v>3425</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1046</v>
      </c>
      <c r="H479" s="1324"/>
      <c r="I479" s="1327"/>
      <c r="J479" s="1324" t="s">
        <v>3426</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2086</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3835</v>
      </c>
      <c r="H481" s="1324"/>
      <c r="I481" s="1327"/>
      <c r="J481" s="1324" t="s">
        <v>3434</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3427</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3428</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3429</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3430</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3433</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1771</v>
      </c>
      <c r="H487" s="1324"/>
      <c r="I487" s="1327"/>
      <c r="J487" s="1324" t="s">
        <v>3431</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3432</v>
      </c>
      <c r="K488" s="469"/>
      <c r="L488" s="1327"/>
      <c r="M488" s="469"/>
      <c r="N488" s="470"/>
      <c r="O488" s="1318">
        <v>1</v>
      </c>
      <c r="P488" s="1318"/>
      <c r="Q488" s="536"/>
      <c r="R488" s="164"/>
      <c r="S488" s="164"/>
      <c r="T488" s="164"/>
      <c r="U488" s="164"/>
      <c r="V488" s="164"/>
      <c r="W488" s="164"/>
      <c r="X488" s="164"/>
    </row>
    <row r="489" spans="1:24" s="503" customFormat="1">
      <c r="A489" s="1157" t="s">
        <v>3396</v>
      </c>
      <c r="C489" s="469"/>
      <c r="D489" s="1325"/>
      <c r="E489" s="1325">
        <v>3</v>
      </c>
      <c r="F489" s="469"/>
      <c r="G489" s="1326" t="s">
        <v>2504</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3397</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3398</v>
      </c>
      <c r="C491" s="469"/>
      <c r="D491" s="1325"/>
      <c r="E491" s="1325">
        <v>10</v>
      </c>
      <c r="F491" s="469"/>
      <c r="G491" s="1326" t="s">
        <v>2073</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607</v>
      </c>
      <c r="H492" s="1324"/>
      <c r="I492" s="1327"/>
      <c r="J492" s="1324" t="s">
        <v>4017</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4012</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1938</v>
      </c>
      <c r="H495" s="1327"/>
      <c r="I495" s="1324"/>
      <c r="J495" s="1324" t="s">
        <v>4005</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1942</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4006</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4008</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4013</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4016</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4011</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4014</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4015</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3413</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4101</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2110</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2263</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2137</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2283</v>
      </c>
      <c r="H527" s="1324"/>
      <c r="I527" s="1324"/>
      <c r="J527" s="1324"/>
      <c r="K527" s="1324"/>
      <c r="L527" s="469"/>
      <c r="M527" s="469"/>
      <c r="N527" s="470"/>
      <c r="O527" s="1318"/>
      <c r="P527" s="1318"/>
      <c r="Q527" s="536"/>
    </row>
    <row r="528" spans="1:17" s="164" customFormat="1">
      <c r="A528" s="503"/>
      <c r="B528" s="503"/>
      <c r="C528" s="469"/>
      <c r="D528" s="469"/>
      <c r="E528" s="469"/>
      <c r="F528" s="469"/>
      <c r="G528" s="1319" t="s">
        <v>2179</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2275</v>
      </c>
      <c r="H530" s="469"/>
      <c r="I530" s="469"/>
      <c r="J530" s="1324"/>
      <c r="K530" s="469"/>
      <c r="L530" s="469"/>
      <c r="M530" s="469"/>
      <c r="N530" s="470"/>
      <c r="O530" s="1318"/>
      <c r="P530" s="1318"/>
      <c r="Q530" s="536"/>
    </row>
    <row r="531" spans="1:24" s="164" customFormat="1">
      <c r="A531" s="503"/>
      <c r="B531" s="503"/>
      <c r="C531" s="469"/>
      <c r="D531" s="469"/>
      <c r="E531" s="469"/>
      <c r="F531" s="469"/>
      <c r="G531" s="1319" t="s">
        <v>2142</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2349</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4706</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2276</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nfGWHF4lGPUKYEjEgOX+1H/0QsyVubylK5ykS5aS6ibzGPvl102itkaZ6N0c77Bm2E9SGMU06ciFCWZVDUEyDw==" saltValue="SWpe0o11ukbUR4xX76lRq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21" priority="53" operator="greaterThan">
      <formula>M153</formula>
    </cfRule>
  </conditionalFormatting>
  <conditionalFormatting sqref="B205 F59">
    <cfRule type="expression" dxfId="20" priority="90">
      <formula>AND($O$270&gt;0,$O$270&lt;4,OR($I$270="Statutory Redevelopment Plan",$I$270="Redevelopment Zone",$I$270="Local Redevelopment Plan"))</formula>
    </cfRule>
  </conditionalFormatting>
  <conditionalFormatting sqref="F229:F233">
    <cfRule type="expression" dxfId="19"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Sparrow Pointe at Forest Hill</v>
      </c>
    </row>
    <row r="3" spans="1:6" s="34" customFormat="1" ht="13.5" customHeight="1">
      <c r="A3" s="917" t="str">
        <f>CONCATENATE('Part I-Project Information'!$F$38,", ", 'Part I-Project Information'!$J$39," County")</f>
        <v>Moultrie, Colquitt County</v>
      </c>
    </row>
    <row r="4" spans="1:6" ht="6.75" customHeight="1"/>
    <row r="5" spans="1:6" ht="113.25" customHeight="1">
      <c r="A5" s="2896" t="s">
        <v>4257</v>
      </c>
      <c r="B5" s="2207" t="s">
        <v>4258</v>
      </c>
      <c r="C5" s="2207"/>
      <c r="D5" s="2207"/>
      <c r="E5" s="2207"/>
      <c r="F5" s="2207"/>
    </row>
    <row r="6" spans="1:6" ht="6.6" customHeight="1">
      <c r="A6" s="2896"/>
      <c r="B6" s="2207"/>
      <c r="C6" s="2207"/>
      <c r="D6" s="2207"/>
      <c r="E6" s="2207"/>
      <c r="F6" s="2207"/>
    </row>
    <row r="7" spans="1:6" ht="134.25" customHeight="1">
      <c r="A7" s="2896"/>
      <c r="B7" s="2207"/>
      <c r="C7" s="2207"/>
      <c r="D7" s="2207"/>
      <c r="E7" s="2207"/>
      <c r="F7" s="2207"/>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uKFIQTsp5+R1JLotsmkefb/PMepxH5BeJBEYJWzFrmbzq7zBXeVEVi/8gXksn5ucuFjrCz6ul74dVv+PzpAk1A==" saltValue="m3swQIcsljHtqBtu+/glJ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10134678</v>
      </c>
    </row>
    <row r="5" spans="1:7">
      <c r="A5" s="1373" t="s">
        <v>4291</v>
      </c>
      <c r="B5" s="1374">
        <f>+B18+B26+B38</f>
        <v>110</v>
      </c>
    </row>
    <row r="6" spans="1:7">
      <c r="A6" s="1373" t="s">
        <v>4261</v>
      </c>
      <c r="B6" s="1375">
        <f>+B5-B4</f>
        <v>-10134568</v>
      </c>
    </row>
    <row r="7" spans="1:7">
      <c r="A7" s="1373" t="s">
        <v>4262</v>
      </c>
      <c r="B7" s="1376">
        <f>+B6/B4</f>
        <v>-0.99998914617711587</v>
      </c>
    </row>
    <row r="8" spans="1:7" ht="9" customHeight="1"/>
    <row r="9" spans="1:7">
      <c r="A9" s="1373" t="s">
        <v>4263</v>
      </c>
      <c r="B9" s="1374">
        <f>+B18+B26+B33</f>
        <v>0</v>
      </c>
    </row>
    <row r="10" spans="1:7">
      <c r="A10" s="1373" t="s">
        <v>4261</v>
      </c>
      <c r="B10" s="1375">
        <f>+B9-B4</f>
        <v>-10134678</v>
      </c>
    </row>
    <row r="11" spans="1:7">
      <c r="A11" s="1373" t="s">
        <v>4262</v>
      </c>
      <c r="B11" s="1376">
        <f>+B10/B4</f>
        <v>-1</v>
      </c>
    </row>
    <row r="12" spans="1:7" ht="24" customHeight="1"/>
    <row r="13" spans="1:7">
      <c r="A13" s="1372" t="s">
        <v>4264</v>
      </c>
      <c r="D13" s="1445" t="s">
        <v>4531</v>
      </c>
      <c r="E13" s="1446"/>
    </row>
    <row r="14" spans="1:7">
      <c r="A14" s="1373" t="s">
        <v>4265</v>
      </c>
      <c r="B14" s="1377">
        <f>+SUM('Part III-Sources of Funds'!L49:M50)</f>
        <v>10115000</v>
      </c>
      <c r="D14" s="1446"/>
      <c r="E14" s="1446"/>
    </row>
    <row r="15" spans="1:7">
      <c r="A15" s="1373" t="s">
        <v>4266</v>
      </c>
      <c r="B15" s="1378">
        <f>+'Part IV-A-Uses of Funds'!J167</f>
        <v>1013456.8</v>
      </c>
      <c r="D15" s="1446" t="s">
        <v>2060</v>
      </c>
      <c r="G15" s="1447">
        <f>'Part IV-A-Uses of Funds'!J155</f>
        <v>12248538.9</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5825405.1008400004</v>
      </c>
    </row>
    <row r="20" spans="1:7">
      <c r="A20" s="1373" t="s">
        <v>4269</v>
      </c>
      <c r="B20" s="1377">
        <f>+B18-B14</f>
        <v>-10115000</v>
      </c>
      <c r="D20" s="1446" t="s">
        <v>4536</v>
      </c>
      <c r="G20" s="1449">
        <f>+B14-G19</f>
        <v>4289594.8991599996</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0</v>
      </c>
    </row>
    <row r="25" spans="1:7">
      <c r="A25" s="1373" t="s">
        <v>4273</v>
      </c>
      <c r="B25" s="1381">
        <f>IF('Part III-Sources of Funds'!B11="Yes","N/A",MAX(B46:P46))</f>
        <v>-38611.896142654201</v>
      </c>
    </row>
    <row r="26" spans="1:7">
      <c r="A26" s="1373" t="s">
        <v>4274</v>
      </c>
      <c r="B26" s="1371">
        <f>IFERROR(PV('Part III-Sources of Funds'!K37,'Part III-Sources of Funds'!L37,B25+B45),B24)</f>
        <v>0</v>
      </c>
    </row>
    <row r="27" spans="1:7" ht="9" customHeight="1">
      <c r="B27" s="1371"/>
    </row>
    <row r="28" spans="1:7">
      <c r="A28" s="1373" t="s">
        <v>4275</v>
      </c>
      <c r="B28" s="1382">
        <f>+B26-B24</f>
        <v>0</v>
      </c>
      <c r="C28" s="1383"/>
    </row>
    <row r="29" spans="1:7">
      <c r="A29" s="1373" t="s">
        <v>4270</v>
      </c>
      <c r="B29" s="1384" t="e">
        <f>+B28/B24</f>
        <v>#DIV/0!</v>
      </c>
    </row>
    <row r="30" spans="1:7" ht="24" customHeight="1"/>
    <row r="31" spans="1:7">
      <c r="A31" s="1372" t="s">
        <v>4127</v>
      </c>
    </row>
    <row r="32" spans="1:7">
      <c r="A32" s="1373" t="s">
        <v>4276</v>
      </c>
      <c r="B32" s="1385">
        <f>+'Part III-Sources of Funds'!I42</f>
        <v>20996</v>
      </c>
    </row>
    <row r="33" spans="1:11">
      <c r="A33" s="1373" t="s">
        <v>4277</v>
      </c>
      <c r="B33" s="1371"/>
    </row>
    <row r="34" spans="1:11" ht="9" customHeight="1">
      <c r="B34" s="1371"/>
    </row>
    <row r="35" spans="1:11">
      <c r="A35" s="1373" t="s">
        <v>4278</v>
      </c>
      <c r="B35" s="1385">
        <f>+B33-B32</f>
        <v>-20996</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4281</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1215</v>
      </c>
      <c r="B44" s="1374">
        <f>+'Part VII-Pro Forma'!B22</f>
        <v>59397.438399999985</v>
      </c>
      <c r="C44" s="1374">
        <f>+'Part VII-Pro Forma'!C22</f>
        <v>58337.887167999987</v>
      </c>
      <c r="D44" s="1374">
        <f>+'Part VII-Pro Forma'!D22</f>
        <v>57189.319911359984</v>
      </c>
      <c r="E44" s="1374">
        <f>+'Part VII-Pro Forma'!E22</f>
        <v>55949.589559587177</v>
      </c>
      <c r="F44" s="1374">
        <f>+'Part VII-Pro Forma'!F22</f>
        <v>54612.431898278919</v>
      </c>
      <c r="G44" s="1374">
        <f>+'Part VII-Pro Forma'!G22</f>
        <v>53174.46160016959</v>
      </c>
      <c r="H44" s="1374">
        <f>+'Part VII-Pro Forma'!H22</f>
        <v>51633.168128015735</v>
      </c>
      <c r="I44" s="1374">
        <f>+'Part VII-Pro Forma'!I22</f>
        <v>49981.911505293967</v>
      </c>
      <c r="J44" s="1374">
        <f>+'Part VII-Pro Forma'!J22</f>
        <v>48217.917950559437</v>
      </c>
      <c r="K44" s="1374">
        <f>+'Part VII-Pro Forma'!K22</f>
        <v>46334.275371185038</v>
      </c>
    </row>
    <row r="45" spans="1:11">
      <c r="A45" s="1373" t="s">
        <v>4282</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4283</v>
      </c>
      <c r="B46" s="1375">
        <f t="shared" ref="B46:K46" si="0">-B44/B48-B45</f>
        <v>-49497.86533333332</v>
      </c>
      <c r="C46" s="1375">
        <f t="shared" si="0"/>
        <v>-48614.905973333327</v>
      </c>
      <c r="D46" s="1375">
        <f t="shared" si="0"/>
        <v>-47657.766592799991</v>
      </c>
      <c r="E46" s="1375">
        <f t="shared" si="0"/>
        <v>-46624.657966322651</v>
      </c>
      <c r="F46" s="1375">
        <f t="shared" si="0"/>
        <v>-45510.359915232431</v>
      </c>
      <c r="G46" s="1375">
        <f t="shared" si="0"/>
        <v>-44312.051333474657</v>
      </c>
      <c r="H46" s="1375">
        <f t="shared" si="0"/>
        <v>-43027.640106679784</v>
      </c>
      <c r="I46" s="1375">
        <f t="shared" si="0"/>
        <v>-41651.592921078307</v>
      </c>
      <c r="J46" s="1375">
        <f t="shared" si="0"/>
        <v>-40181.598292132869</v>
      </c>
      <c r="K46" s="1375">
        <f t="shared" si="0"/>
        <v>-38611.896142654201</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59397.438399999985</v>
      </c>
      <c r="C51" s="1375">
        <f t="shared" ref="C51:K51" si="2">+C44</f>
        <v>58337.887167999987</v>
      </c>
      <c r="D51" s="1375">
        <f t="shared" si="2"/>
        <v>57189.319911359984</v>
      </c>
      <c r="E51" s="1375">
        <f t="shared" si="2"/>
        <v>55949.589559587177</v>
      </c>
      <c r="F51" s="1375">
        <f t="shared" si="2"/>
        <v>54612.431898278919</v>
      </c>
      <c r="G51" s="1375">
        <f t="shared" si="2"/>
        <v>53174.46160016959</v>
      </c>
      <c r="H51" s="1375">
        <f t="shared" si="2"/>
        <v>51633.168128015735</v>
      </c>
      <c r="I51" s="1375">
        <f t="shared" si="2"/>
        <v>49981.911505293967</v>
      </c>
      <c r="J51" s="1375">
        <f t="shared" si="2"/>
        <v>48217.917950559437</v>
      </c>
      <c r="K51" s="1375">
        <f t="shared" si="2"/>
        <v>46334.275371185038</v>
      </c>
    </row>
    <row r="52" spans="1:17">
      <c r="A52" s="1373" t="s">
        <v>4285</v>
      </c>
      <c r="B52" s="1375">
        <f>IF($B$25="N/A",B45,B45+$B$25)</f>
        <v>-38611.896142654201</v>
      </c>
      <c r="C52" s="1375">
        <f t="shared" ref="C52:K52" si="3">IF($B$25="N/A",C45,C45+$B$25)</f>
        <v>-38611.896142654201</v>
      </c>
      <c r="D52" s="1375">
        <f t="shared" si="3"/>
        <v>-38611.896142654201</v>
      </c>
      <c r="E52" s="1375">
        <f t="shared" si="3"/>
        <v>-38611.896142654201</v>
      </c>
      <c r="F52" s="1375">
        <f t="shared" si="3"/>
        <v>-38611.896142654201</v>
      </c>
      <c r="G52" s="1375">
        <f t="shared" si="3"/>
        <v>-38611.896142654201</v>
      </c>
      <c r="H52" s="1375">
        <f t="shared" si="3"/>
        <v>-38611.896142654201</v>
      </c>
      <c r="I52" s="1375">
        <f t="shared" si="3"/>
        <v>-38611.896142654201</v>
      </c>
      <c r="J52" s="1375">
        <f t="shared" si="3"/>
        <v>-38611.896142654201</v>
      </c>
      <c r="K52" s="1375">
        <f t="shared" si="3"/>
        <v>-38611.896142654201</v>
      </c>
    </row>
    <row r="53" spans="1:17">
      <c r="A53" s="1373" t="s">
        <v>4286</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4287</v>
      </c>
      <c r="B54" s="1375">
        <f>+SUM(B51:B53)</f>
        <v>15785.542257345784</v>
      </c>
      <c r="C54" s="1375">
        <f t="shared" ref="C54:K54" si="4">+SUM(C51:C53)</f>
        <v>14725.991025345786</v>
      </c>
      <c r="D54" s="1375">
        <f t="shared" si="4"/>
        <v>13577.423768705783</v>
      </c>
      <c r="E54" s="1375">
        <f t="shared" si="4"/>
        <v>12337.693416932976</v>
      </c>
      <c r="F54" s="1375">
        <f t="shared" si="4"/>
        <v>11000.535755624718</v>
      </c>
      <c r="G54" s="1375">
        <f t="shared" si="4"/>
        <v>9562.5654575153894</v>
      </c>
      <c r="H54" s="1375">
        <f t="shared" si="4"/>
        <v>8021.2719853615345</v>
      </c>
      <c r="I54" s="1375">
        <f t="shared" si="4"/>
        <v>6370.015362639766</v>
      </c>
      <c r="J54" s="1375">
        <f t="shared" si="4"/>
        <v>4606.0218079052356</v>
      </c>
      <c r="K54" s="1375">
        <f t="shared" si="4"/>
        <v>2722.3792285308373</v>
      </c>
    </row>
    <row r="55" spans="1:17">
      <c r="A55" s="1373" t="s">
        <v>4127</v>
      </c>
      <c r="B55" s="1375">
        <f>-B54</f>
        <v>-15785.542257345784</v>
      </c>
      <c r="C55" s="1375">
        <f t="shared" ref="C55:K55" si="5">-C54</f>
        <v>-14725.991025345786</v>
      </c>
      <c r="D55" s="1375">
        <f t="shared" si="5"/>
        <v>-13577.423768705783</v>
      </c>
      <c r="E55" s="1375">
        <f t="shared" si="5"/>
        <v>-12337.693416932976</v>
      </c>
      <c r="F55" s="1375">
        <f t="shared" si="5"/>
        <v>-11000.535755624718</v>
      </c>
      <c r="G55" s="1375">
        <f t="shared" si="5"/>
        <v>-9562.5654575153894</v>
      </c>
      <c r="H55" s="1375">
        <f t="shared" si="5"/>
        <v>-8021.2719853615345</v>
      </c>
      <c r="I55" s="1375">
        <f t="shared" si="5"/>
        <v>-6370.015362639766</v>
      </c>
      <c r="J55" s="1375">
        <f t="shared" si="5"/>
        <v>-4606.0218079052356</v>
      </c>
      <c r="K55" s="1375">
        <f t="shared" si="5"/>
        <v>-2722.3792285308373</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-38611.896142654201</v>
      </c>
      <c r="C58" s="1374">
        <f>IF($B$26="","",-FV('Part III-Sources of Funds'!$K$37/12,12,C52/12,B58))</f>
        <v>-77223.792285308402</v>
      </c>
      <c r="D58" s="1374">
        <f>IF($B$26="","",-FV('Part III-Sources of Funds'!$K$37/12,12,D52/12,C58))</f>
        <v>-115835.6884279626</v>
      </c>
      <c r="E58" s="1374">
        <f>IF($B$26="","",-FV('Part III-Sources of Funds'!$K$37/12,12,E52/12,D58))</f>
        <v>-154447.5845706168</v>
      </c>
      <c r="F58" s="1374">
        <f>IF($B$26="","",-FV('Part III-Sources of Funds'!$K$37/12,12,F52/12,E58))</f>
        <v>-193059.48071327101</v>
      </c>
      <c r="G58" s="1374">
        <f>IF($B$26="","",-FV('Part III-Sources of Funds'!$K$37/12,12,G52/12,F58))</f>
        <v>-231671.37685592522</v>
      </c>
      <c r="H58" s="1374">
        <f>IF($B$26="","",-FV('Part III-Sources of Funds'!$K$37/12,12,H52/12,G58))</f>
        <v>-270283.27299857943</v>
      </c>
      <c r="I58" s="1374">
        <f>IF($B$26="","",-FV('Part III-Sources of Funds'!$K$37/12,12,I52/12,H58))</f>
        <v>-308895.16914123361</v>
      </c>
      <c r="J58" s="1374">
        <f>IF($B$26="","",-FV('Part III-Sources of Funds'!$K$37/12,12,J52/12,I58))</f>
        <v>-347507.06528388779</v>
      </c>
      <c r="K58" s="1374">
        <f>IF($B$26="","",-FV('Part III-Sources of Funds'!$K$37/12,12,K52/12,J58))</f>
        <v>-386118.96142654197</v>
      </c>
    </row>
    <row r="59" spans="1:17">
      <c r="A59" s="1373" t="s">
        <v>4128</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44328.928712071523</v>
      </c>
      <c r="C64" s="1374">
        <f>+'Part VII-Pro Forma'!C52</f>
        <v>42194.675154779557</v>
      </c>
      <c r="D64" s="1374">
        <f>+'Part VII-Pro Forma'!D52</f>
        <v>39928.159162395939</v>
      </c>
      <c r="E64" s="1374">
        <f>+'Part VII-Pro Forma'!E52</f>
        <v>37521.867365300182</v>
      </c>
      <c r="F64" s="1374">
        <f>+'Part VII-Pro Forma'!F52</f>
        <v>34972.123282852117</v>
      </c>
      <c r="G64" s="1374">
        <f>+'Part VII-Pro Forma'!G52</f>
        <v>32272.081875862346</v>
      </c>
      <c r="H64" s="1374">
        <f>+'Part VII-Pro Forma'!H52</f>
        <v>29415.723924553819</v>
      </c>
      <c r="I64" s="1374">
        <f>+'Part VII-Pro Forma'!I52</f>
        <v>26397.850226554077</v>
      </c>
      <c r="J64" s="1374">
        <f>+'Part VII-Pro Forma'!J52</f>
        <v>23211.075609299558</v>
      </c>
      <c r="K64" s="1374">
        <f>+'Part VII-Pro Forma'!K52</f>
        <v>19848.822751046431</v>
      </c>
    </row>
    <row r="65" spans="1:11">
      <c r="A65" s="1373" t="s">
        <v>4282</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4283</v>
      </c>
      <c r="B66" s="1375">
        <f t="shared" ref="B66:K66" si="7">-B64/B68-B65</f>
        <v>-36940.773926726273</v>
      </c>
      <c r="C66" s="1375">
        <f t="shared" si="7"/>
        <v>-35162.229295649631</v>
      </c>
      <c r="D66" s="1375">
        <f t="shared" si="7"/>
        <v>-33273.465968663288</v>
      </c>
      <c r="E66" s="1375">
        <f t="shared" si="7"/>
        <v>-31268.222804416819</v>
      </c>
      <c r="F66" s="1375">
        <f t="shared" si="7"/>
        <v>-29143.436069043433</v>
      </c>
      <c r="G66" s="1375">
        <f t="shared" si="7"/>
        <v>-26893.401563218624</v>
      </c>
      <c r="H66" s="1375">
        <f t="shared" si="7"/>
        <v>-24513.103270461517</v>
      </c>
      <c r="I66" s="1375">
        <f t="shared" si="7"/>
        <v>-21998.2085221284</v>
      </c>
      <c r="J66" s="1375">
        <f t="shared" si="7"/>
        <v>-19342.563007749632</v>
      </c>
      <c r="K66" s="1375">
        <f t="shared" si="7"/>
        <v>-16540.685625872025</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44328.928712071523</v>
      </c>
      <c r="C71" s="1375">
        <f t="shared" si="9"/>
        <v>42194.675154779557</v>
      </c>
      <c r="D71" s="1375">
        <f t="shared" si="9"/>
        <v>39928.159162395939</v>
      </c>
      <c r="E71" s="1375">
        <f t="shared" si="9"/>
        <v>37521.867365300182</v>
      </c>
      <c r="F71" s="1375">
        <f t="shared" si="9"/>
        <v>34972.123282852117</v>
      </c>
      <c r="G71" s="1375">
        <f t="shared" si="9"/>
        <v>32272.081875862346</v>
      </c>
      <c r="H71" s="1375">
        <f>+H64</f>
        <v>29415.723924553819</v>
      </c>
      <c r="I71" s="1375">
        <f>+I64</f>
        <v>26397.850226554077</v>
      </c>
      <c r="J71" s="1375">
        <f>+J64</f>
        <v>23211.075609299558</v>
      </c>
      <c r="K71" s="1375">
        <f>+K64</f>
        <v>19848.822751046431</v>
      </c>
    </row>
    <row r="72" spans="1:11">
      <c r="A72" s="1373" t="s">
        <v>4285</v>
      </c>
      <c r="B72" s="1375">
        <f t="shared" ref="B72:G72" si="10">IF($B$25="N/A",B65,B65+$B$25)</f>
        <v>-38611.896142654201</v>
      </c>
      <c r="C72" s="1375">
        <f t="shared" si="10"/>
        <v>-38611.896142654201</v>
      </c>
      <c r="D72" s="1375">
        <f t="shared" si="10"/>
        <v>-38611.896142654201</v>
      </c>
      <c r="E72" s="1375">
        <f t="shared" si="10"/>
        <v>-38611.896142654201</v>
      </c>
      <c r="F72" s="1375">
        <f t="shared" si="10"/>
        <v>-38611.896142654201</v>
      </c>
      <c r="G72" s="1375">
        <f t="shared" si="10"/>
        <v>-38611.896142654201</v>
      </c>
      <c r="H72" s="1375">
        <f>IF($B$25="N/A",H65,H65+$B$25)</f>
        <v>-38611.896142654201</v>
      </c>
      <c r="I72" s="1375">
        <f>IF($B$25="N/A",I65,I65+$B$25)</f>
        <v>-38611.896142654201</v>
      </c>
      <c r="J72" s="1375">
        <f>IF($B$25="N/A",J65,J65+$B$25)</f>
        <v>-38611.896142654201</v>
      </c>
      <c r="K72" s="1375">
        <f>IF($B$25="N/A",K65,K65+$B$25)</f>
        <v>-38611.896142654201</v>
      </c>
    </row>
    <row r="73" spans="1:11">
      <c r="A73" s="1373" t="s">
        <v>4286</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4287</v>
      </c>
      <c r="B74" s="1375">
        <f t="shared" ref="B74:G74" si="11">+SUM(B71:B73)</f>
        <v>717.03256941732252</v>
      </c>
      <c r="C74" s="1375">
        <f t="shared" si="11"/>
        <v>-1417.2209878746435</v>
      </c>
      <c r="D74" s="1375">
        <f t="shared" si="11"/>
        <v>-3683.7369802582616</v>
      </c>
      <c r="E74" s="1375">
        <f t="shared" si="11"/>
        <v>-6090.0287773540185</v>
      </c>
      <c r="F74" s="1375">
        <f t="shared" si="11"/>
        <v>-8639.772859802084</v>
      </c>
      <c r="G74" s="1375">
        <f t="shared" si="11"/>
        <v>-11339.814266791855</v>
      </c>
      <c r="H74" s="1375">
        <f>+SUM(H71:H73)</f>
        <v>-14196.172218100382</v>
      </c>
      <c r="I74" s="1375">
        <f>+SUM(I71:I73)</f>
        <v>-17214.045916100124</v>
      </c>
      <c r="J74" s="1375">
        <f>+SUM(J71:J73)</f>
        <v>-20400.820533354643</v>
      </c>
      <c r="K74" s="1375">
        <f>+SUM(K71:K73)</f>
        <v>-23763.07339160777</v>
      </c>
    </row>
    <row r="75" spans="1:11">
      <c r="A75" s="1373" t="s">
        <v>4127</v>
      </c>
      <c r="B75" s="1375">
        <f t="shared" ref="B75:G75" si="12">-B74</f>
        <v>-717.03256941732252</v>
      </c>
      <c r="C75" s="1375">
        <f t="shared" si="12"/>
        <v>1417.2209878746435</v>
      </c>
      <c r="D75" s="1375">
        <f t="shared" si="12"/>
        <v>3683.7369802582616</v>
      </c>
      <c r="E75" s="1375">
        <f t="shared" si="12"/>
        <v>6090.0287773540185</v>
      </c>
      <c r="F75" s="1375">
        <f t="shared" si="12"/>
        <v>8639.772859802084</v>
      </c>
      <c r="G75" s="1375">
        <f t="shared" si="12"/>
        <v>11339.814266791855</v>
      </c>
      <c r="H75" s="1375">
        <f>-H74</f>
        <v>14196.172218100382</v>
      </c>
      <c r="I75" s="1375">
        <f>-I74</f>
        <v>17214.045916100124</v>
      </c>
      <c r="J75" s="1375">
        <f>-J74</f>
        <v>20400.820533354643</v>
      </c>
      <c r="K75" s="1375">
        <f>-K74</f>
        <v>23763.07339160777</v>
      </c>
    </row>
    <row r="76" spans="1:11">
      <c r="A76" s="1373" t="s">
        <v>4288</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4289</v>
      </c>
      <c r="B78" s="1374">
        <f>IF($B$26="","",-FV('Part III-Sources of Funds'!$K$37/12,12,B72/12,K58))</f>
        <v>-424730.85756919615</v>
      </c>
      <c r="C78" s="1374">
        <f>IF($B$26="","",-FV('Part III-Sources of Funds'!$K$37/12,12,C72/12,B78))</f>
        <v>-463342.75371185032</v>
      </c>
      <c r="D78" s="1374">
        <f>IF($B$26="","",-FV('Part III-Sources of Funds'!$K$37/12,12,D72/12,C78))</f>
        <v>-501954.6498545045</v>
      </c>
      <c r="E78" s="1374">
        <f>IF($B$26="","",-FV('Part III-Sources of Funds'!$K$37/12,12,E72/12,D78))</f>
        <v>-540566.54599715874</v>
      </c>
      <c r="F78" s="1374">
        <f>IF($B$26="","",-FV('Part III-Sources of Funds'!$K$37/12,12,F72/12,E78))</f>
        <v>-579178.44213981298</v>
      </c>
      <c r="G78" s="1374">
        <f>IF($B$26="","",-FV('Part III-Sources of Funds'!$K$37/12,12,G72/12,F78))</f>
        <v>-617790.33828246722</v>
      </c>
      <c r="H78" s="1374">
        <f>IF($B$26="","",-FV('Part III-Sources of Funds'!$K$37/12,12,H72/12,G78))</f>
        <v>-656402.23442512145</v>
      </c>
      <c r="I78" s="1374">
        <f>IF($B$26="","",-FV('Part III-Sources of Funds'!$K$37/12,12,I72/12,H78))</f>
        <v>-695014.13056777569</v>
      </c>
      <c r="J78" s="1374">
        <f>IF($B$26="","",-FV('Part III-Sources of Funds'!$K$37/12,12,J72/12,I78))</f>
        <v>-733626.02671042993</v>
      </c>
      <c r="K78" s="1374">
        <f>IF($B$26="","",-FV('Part III-Sources of Funds'!$K$37/12,12,K72/12,J78))</f>
        <v>-772237.92285308416</v>
      </c>
    </row>
    <row r="79" spans="1:11">
      <c r="A79" s="1373" t="s">
        <v>4128</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2933</v>
      </c>
      <c r="B1" s="2213"/>
      <c r="C1" s="2213"/>
      <c r="D1" s="2213"/>
      <c r="E1" s="2213"/>
      <c r="F1" s="2213"/>
      <c r="G1" s="2213"/>
      <c r="H1" s="2213"/>
      <c r="I1" s="2213"/>
      <c r="J1" s="2213"/>
    </row>
    <row r="2" spans="1:11" ht="15.75">
      <c r="A2" s="2213" t="str">
        <f>Overview!C8</f>
        <v>Sparrow Pointe at Forest Hill</v>
      </c>
      <c r="B2" s="2213"/>
      <c r="C2" s="2213"/>
      <c r="D2" s="2213"/>
      <c r="E2" s="2213"/>
      <c r="F2" s="2213"/>
      <c r="G2" s="2213"/>
      <c r="H2" s="2213"/>
      <c r="I2" s="2213"/>
      <c r="J2" s="2213"/>
    </row>
    <row r="3" spans="1:11" ht="15.75">
      <c r="A3" s="2213" t="str">
        <f>'Subsidy Layering Memo'!F14</f>
        <v>Moultrie, Colquitt</v>
      </c>
      <c r="B3" s="2213"/>
      <c r="C3" s="2213"/>
      <c r="D3" s="2213"/>
      <c r="E3" s="2213"/>
      <c r="F3" s="2213"/>
      <c r="G3" s="2213"/>
      <c r="H3" s="2213"/>
      <c r="I3" s="2213"/>
      <c r="J3" s="2213"/>
    </row>
    <row r="4" spans="1:11" ht="15.75">
      <c r="A4" s="2214" t="s">
        <v>2934</v>
      </c>
      <c r="B4" s="2213"/>
      <c r="C4" s="2213"/>
      <c r="D4" s="2213"/>
      <c r="E4" s="2213"/>
      <c r="F4" s="2213"/>
      <c r="G4" s="2213"/>
      <c r="H4" s="2213"/>
      <c r="I4" s="2213"/>
      <c r="J4" s="2213"/>
    </row>
    <row r="5" spans="1:11" ht="5.25" customHeight="1"/>
    <row r="6" spans="1:11" ht="5.25" customHeight="1"/>
    <row r="7" spans="1:11" ht="15.75">
      <c r="A7" s="2215" t="s">
        <v>2935</v>
      </c>
      <c r="B7" s="2215"/>
      <c r="C7" s="2216"/>
    </row>
    <row r="8" spans="1:11" ht="102.75" customHeight="1">
      <c r="A8" s="2209" t="s">
        <v>4292</v>
      </c>
      <c r="B8" s="2209"/>
      <c r="C8" s="2209"/>
      <c r="D8" s="2209"/>
      <c r="E8" s="2209"/>
      <c r="F8" s="2209"/>
      <c r="G8" s="2209"/>
      <c r="H8" s="2209"/>
      <c r="I8" s="2209"/>
      <c r="J8" s="2209"/>
      <c r="K8" s="687"/>
    </row>
    <row r="9" spans="1:11" ht="15.75">
      <c r="A9" s="688" t="s">
        <v>2936</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2966</v>
      </c>
      <c r="B11" s="2209"/>
      <c r="C11" s="2209"/>
      <c r="D11" s="2209"/>
      <c r="E11" s="2209"/>
      <c r="F11" s="2209"/>
      <c r="G11" s="2209"/>
      <c r="H11" s="2209"/>
      <c r="I11" s="2209"/>
      <c r="J11" s="2209"/>
    </row>
    <row r="12" spans="1:11" ht="48.75" customHeight="1">
      <c r="A12" s="2209" t="s">
        <v>2967</v>
      </c>
      <c r="B12" s="2209"/>
      <c r="C12" s="2209"/>
      <c r="D12" s="2209"/>
      <c r="E12" s="2209"/>
      <c r="F12" s="2209"/>
      <c r="G12" s="2209"/>
      <c r="H12" s="2209"/>
      <c r="I12" s="2209"/>
      <c r="J12" s="2209"/>
    </row>
    <row r="13" spans="1:11" ht="15.75">
      <c r="A13" s="688" t="s">
        <v>2937</v>
      </c>
      <c r="B13" s="689"/>
    </row>
    <row r="14" spans="1:11">
      <c r="A14" s="686" t="s">
        <v>2938</v>
      </c>
      <c r="E14" s="690" t="s">
        <v>2939</v>
      </c>
    </row>
    <row r="15" spans="1:11">
      <c r="A15" s="686" t="s">
        <v>2940</v>
      </c>
      <c r="D15" s="691">
        <f>Overview!C25</f>
        <v>0</v>
      </c>
    </row>
    <row r="16" spans="1:11">
      <c r="A16" s="692" t="s">
        <v>2941</v>
      </c>
      <c r="D16" s="693">
        <f>Overview!C13</f>
        <v>50</v>
      </c>
    </row>
    <row r="17" spans="1:11" ht="14.25" customHeight="1"/>
    <row r="18" spans="1:11" ht="15.75">
      <c r="A18" s="688" t="s">
        <v>2942</v>
      </c>
      <c r="B18" s="689"/>
      <c r="C18" s="689"/>
    </row>
    <row r="19" spans="1:11" ht="48.75" customHeight="1">
      <c r="A19" s="2211" t="s">
        <v>2969</v>
      </c>
      <c r="B19" s="2211"/>
      <c r="C19" s="2211"/>
      <c r="D19" s="2211"/>
      <c r="E19" s="2211"/>
      <c r="F19" s="2211"/>
      <c r="G19" s="2211"/>
      <c r="H19" s="2211"/>
      <c r="I19" s="2211"/>
      <c r="J19" s="2211"/>
    </row>
    <row r="20" spans="1:11" ht="72.75" customHeight="1">
      <c r="A20" s="2209" t="s">
        <v>3410</v>
      </c>
      <c r="B20" s="2209"/>
      <c r="C20" s="2209"/>
      <c r="D20" s="2209"/>
      <c r="E20" s="2209"/>
      <c r="F20" s="2209"/>
      <c r="G20" s="2209"/>
      <c r="H20" s="2209"/>
      <c r="I20" s="2209"/>
      <c r="J20" s="2209"/>
    </row>
    <row r="21" spans="1:11" ht="15.75">
      <c r="A21" s="688" t="s">
        <v>2943</v>
      </c>
      <c r="B21" s="689"/>
      <c r="C21" s="689"/>
      <c r="D21" s="689"/>
      <c r="E21" s="689"/>
      <c r="F21" s="689"/>
    </row>
    <row r="22" spans="1:11" ht="102.75" customHeight="1">
      <c r="A22" s="2212" t="s">
        <v>2962</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2944</v>
      </c>
    </row>
    <row r="27" spans="1:11" ht="15.75" thickBot="1">
      <c r="A27" s="694"/>
      <c r="B27" s="694"/>
      <c r="C27" s="694"/>
      <c r="D27" s="694"/>
      <c r="F27" s="694"/>
      <c r="G27" s="694"/>
      <c r="H27" s="694"/>
      <c r="I27" s="694"/>
    </row>
    <row r="28" spans="1:11">
      <c r="A28" s="686" t="s">
        <v>2945</v>
      </c>
      <c r="D28" s="686" t="s">
        <v>934</v>
      </c>
      <c r="F28" s="686" t="s">
        <v>2946</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3005</v>
      </c>
      <c r="B1" s="752"/>
      <c r="C1" s="752"/>
      <c r="D1" s="752"/>
      <c r="E1" s="752"/>
      <c r="F1" s="752"/>
      <c r="G1" s="752"/>
      <c r="H1" s="752"/>
      <c r="I1" s="752"/>
      <c r="J1" s="752"/>
      <c r="K1" s="752"/>
      <c r="L1" s="689"/>
      <c r="M1" s="689"/>
    </row>
    <row r="2" spans="1:14" s="254" customFormat="1" ht="18">
      <c r="A2" s="1386" t="str">
        <f>+"Financial Analysis for:  "&amp;E8&amp;"  "&amp;C8</f>
        <v>Financial Analysis for:  2018-030  Sparrow Pointe at Forest Hill</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3006</v>
      </c>
      <c r="B7" s="686"/>
      <c r="C7" s="726"/>
      <c r="D7" s="727"/>
      <c r="E7" s="727"/>
      <c r="F7" s="689" t="s">
        <v>3336</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3007</v>
      </c>
      <c r="B8" s="689"/>
      <c r="C8" s="2218" t="str">
        <f>'Part I-Project Information'!F34</f>
        <v>Sparrow Pointe at Forest Hill</v>
      </c>
      <c r="D8" s="2218"/>
      <c r="E8" s="1458" t="str">
        <f>'Part I-Project Information'!O6</f>
        <v>2018-030</v>
      </c>
      <c r="F8" s="728" t="s">
        <v>3008</v>
      </c>
      <c r="G8" s="727"/>
      <c r="H8" s="2218" t="str">
        <f>CONCATENATE('Part I-Project Information'!F38,", ",'Part I-Project Information'!J39)</f>
        <v>Moultrie, Colquitt</v>
      </c>
      <c r="I8" s="2218"/>
      <c r="J8" s="2218"/>
      <c r="K8" s="2218"/>
      <c r="L8" s="686"/>
      <c r="M8" s="729"/>
    </row>
    <row r="9" spans="1:14" ht="15.75">
      <c r="A9" s="689" t="s">
        <v>3010</v>
      </c>
      <c r="B9" s="689"/>
      <c r="C9" s="2218" t="s">
        <v>1784</v>
      </c>
      <c r="D9" s="2218"/>
      <c r="E9" s="727"/>
      <c r="F9" s="728" t="s">
        <v>3011</v>
      </c>
      <c r="G9" s="727"/>
      <c r="H9" s="2218" t="str">
        <f>'Part II-Development Team'!H5</f>
        <v>Sparrow Pointe Housing, LP</v>
      </c>
      <c r="I9" s="2218"/>
      <c r="J9" s="2218"/>
      <c r="K9" s="2218"/>
      <c r="L9" s="2218"/>
      <c r="M9" s="729"/>
    </row>
    <row r="10" spans="1:14" ht="15.75">
      <c r="A10" s="689" t="s">
        <v>3013</v>
      </c>
      <c r="B10" s="686"/>
      <c r="C10" s="1458" t="str">
        <f>'Part II-Development Team'!H14</f>
        <v>Sparrow Pointe Housing GP, LLC</v>
      </c>
      <c r="D10" s="727"/>
      <c r="E10" s="727"/>
      <c r="F10" s="728" t="s">
        <v>3583</v>
      </c>
      <c r="G10" s="727"/>
      <c r="H10" s="2218" t="str">
        <f>'Part II-Development Team'!H33</f>
        <v>Affordable Equity Partners</v>
      </c>
      <c r="I10" s="2218"/>
      <c r="J10" s="2218"/>
      <c r="K10" s="2218" t="str">
        <f>'Part II-Development Team'!H39</f>
        <v>Affordable Equity Partners</v>
      </c>
      <c r="L10" s="2218"/>
    </row>
    <row r="11" spans="1:14" ht="15.75">
      <c r="A11" s="689" t="s">
        <v>3014</v>
      </c>
      <c r="B11" s="686"/>
      <c r="C11" s="1458" t="str">
        <f>IF('Part II-Development Team'!H20="","",'Part II-Development Team'!H20)</f>
        <v/>
      </c>
      <c r="D11" s="727"/>
      <c r="E11" s="1388" t="str">
        <f>IF('Part II-Development Team'!H26="","",'Part II-Development Team'!H26)</f>
        <v/>
      </c>
      <c r="F11" s="728" t="s">
        <v>658</v>
      </c>
      <c r="G11" s="727"/>
      <c r="H11" s="2218" t="str">
        <f>'Part II-Development Team'!H54</f>
        <v>DDER Development, LLC</v>
      </c>
      <c r="I11" s="2218"/>
      <c r="J11" s="2218"/>
      <c r="K11" s="2218">
        <f>'Part II-Development Team'!H60</f>
        <v>0</v>
      </c>
      <c r="L11" s="2218"/>
      <c r="M11" s="2218">
        <f>'Part II-Development Team'!H66</f>
        <v>0</v>
      </c>
      <c r="N11" s="2218"/>
    </row>
    <row r="12" spans="1:14" ht="15.75">
      <c r="A12" s="689" t="s">
        <v>3015</v>
      </c>
      <c r="B12" s="686"/>
      <c r="C12" s="1458" t="str">
        <f>'Part II-Development Team'!H86</f>
        <v>Fairway Construction Co., Inc</v>
      </c>
      <c r="D12" s="727"/>
      <c r="E12" s="727"/>
      <c r="F12" s="728" t="s">
        <v>3016</v>
      </c>
      <c r="G12" s="727"/>
      <c r="H12" s="2218" t="str">
        <f>'Part II-Development Team'!H92</f>
        <v>Fairway Management, Inc.</v>
      </c>
      <c r="I12" s="2218"/>
      <c r="J12" s="2218"/>
      <c r="K12" s="2218"/>
      <c r="L12" s="686"/>
      <c r="M12" s="686"/>
    </row>
    <row r="13" spans="1:14" ht="15.75">
      <c r="A13" s="689" t="s">
        <v>3017</v>
      </c>
      <c r="B13" s="728"/>
      <c r="C13" s="685">
        <f>'Part VI-Revenues &amp; Expenses'!$O$62</f>
        <v>50</v>
      </c>
      <c r="E13" s="1389">
        <f>'Part VI-Revenues &amp; Expenses'!$O$58</f>
        <v>50</v>
      </c>
      <c r="F13" s="728" t="s">
        <v>4302</v>
      </c>
      <c r="G13" s="727"/>
      <c r="H13" s="1459">
        <f>'Part I-Project Information'!H72</f>
        <v>8</v>
      </c>
      <c r="I13" s="1390"/>
      <c r="J13" s="1390"/>
      <c r="K13" s="1459">
        <f>'Part I-Project Information'!P71</f>
        <v>56700</v>
      </c>
      <c r="L13" s="686"/>
      <c r="M13" s="686"/>
    </row>
    <row r="14" spans="1:14" ht="15.75">
      <c r="A14" s="689" t="s">
        <v>3325</v>
      </c>
      <c r="B14" s="686"/>
      <c r="C14" s="1459" t="str">
        <f>'Part I-Project Information'!H78</f>
        <v>Family</v>
      </c>
      <c r="D14" s="2218" t="str">
        <f>IF('Part I-Project Information'!N70=0,"",'Part I-Project Information'!N70)</f>
        <v/>
      </c>
      <c r="E14" s="2218"/>
      <c r="F14" s="728" t="s">
        <v>3018</v>
      </c>
      <c r="G14" s="727"/>
      <c r="H14" s="2223" t="s">
        <v>3522</v>
      </c>
      <c r="I14" s="2223"/>
      <c r="J14" s="2223"/>
      <c r="K14" s="2223" t="s">
        <v>3522</v>
      </c>
      <c r="L14" s="2223"/>
      <c r="M14" s="686"/>
    </row>
    <row r="15" spans="1:14" ht="15.75">
      <c r="A15" s="689" t="s">
        <v>3019</v>
      </c>
      <c r="B15" s="686"/>
      <c r="C15" s="730" t="s">
        <v>1784</v>
      </c>
      <c r="D15" s="727"/>
      <c r="E15" s="727"/>
      <c r="F15" s="728" t="s">
        <v>3326</v>
      </c>
      <c r="G15" s="727"/>
      <c r="H15" s="1458" t="str">
        <f>'Part I-Project Information'!K40</f>
        <v>Rural</v>
      </c>
      <c r="I15" s="727"/>
      <c r="J15" s="727"/>
      <c r="K15" s="727"/>
      <c r="L15" s="686"/>
      <c r="M15" s="686"/>
    </row>
    <row r="16" spans="1:14" ht="15.75">
      <c r="A16" s="689" t="s">
        <v>3556</v>
      </c>
      <c r="B16" s="686"/>
      <c r="C16" s="1458" t="str">
        <f>'Part I-Project Information'!H96</f>
        <v>No</v>
      </c>
      <c r="D16" s="731" t="s">
        <v>2695</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3328</v>
      </c>
      <c r="B18" s="686"/>
      <c r="C18" s="1461">
        <f>'Part IV-A-Uses of Funds'!G132</f>
        <v>10134678</v>
      </c>
      <c r="D18" s="1437">
        <f>IF(C18=0,"",$C$29/C18)</f>
        <v>0</v>
      </c>
      <c r="E18" s="727" t="s">
        <v>3329</v>
      </c>
      <c r="F18" s="728" t="s">
        <v>3330</v>
      </c>
      <c r="G18" s="727"/>
      <c r="H18" s="2217">
        <f>'Part IV-A-Uses of Funds'!B44</f>
        <v>7051567</v>
      </c>
      <c r="I18" s="2217"/>
      <c r="J18" s="1436">
        <f>IF(H18=0,"",$C$29/H18)</f>
        <v>0</v>
      </c>
      <c r="K18" s="2218" t="s">
        <v>3331</v>
      </c>
      <c r="L18" s="2218"/>
      <c r="M18" s="686"/>
    </row>
    <row r="19" spans="1:13" ht="15.75">
      <c r="A19" s="689" t="s">
        <v>3020</v>
      </c>
      <c r="B19" s="686"/>
      <c r="C19" s="1460">
        <f>C18/C13</f>
        <v>202693.56</v>
      </c>
      <c r="D19" s="727"/>
      <c r="E19" s="686"/>
      <c r="F19" s="689" t="s">
        <v>3020</v>
      </c>
      <c r="G19" s="686"/>
      <c r="H19" s="2219">
        <f>H18/C13</f>
        <v>141031.34</v>
      </c>
      <c r="I19" s="2219"/>
      <c r="J19" s="686"/>
      <c r="K19" s="686"/>
      <c r="L19" s="686"/>
      <c r="M19" s="686"/>
    </row>
    <row r="20" spans="1:13" ht="15.75">
      <c r="A20" s="689" t="s">
        <v>3021</v>
      </c>
      <c r="B20" s="686"/>
      <c r="C20" s="1462">
        <f>C18/K13</f>
        <v>178.74211640211641</v>
      </c>
      <c r="D20" s="732"/>
      <c r="E20" s="733"/>
      <c r="F20" s="689" t="s">
        <v>3021</v>
      </c>
      <c r="G20" s="686"/>
      <c r="H20" s="2220">
        <f>H18/K13</f>
        <v>124.36626102292769</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3022</v>
      </c>
      <c r="B23" s="736"/>
      <c r="C23" s="736"/>
      <c r="D23" s="736"/>
      <c r="E23" s="727"/>
      <c r="F23" s="727"/>
      <c r="G23" s="727"/>
      <c r="H23" s="727"/>
      <c r="I23" s="727"/>
      <c r="J23" s="727"/>
      <c r="K23" s="727"/>
      <c r="L23" s="686"/>
      <c r="M23" s="729"/>
    </row>
    <row r="24" spans="1:13" ht="27" customHeight="1">
      <c r="A24" s="686"/>
      <c r="B24" s="686"/>
      <c r="C24" s="686"/>
      <c r="D24" s="737" t="s">
        <v>3023</v>
      </c>
      <c r="E24" s="686"/>
      <c r="F24" s="686"/>
      <c r="G24" s="686"/>
      <c r="H24" s="686"/>
      <c r="I24" s="686"/>
      <c r="J24" s="686"/>
      <c r="K24" s="686"/>
      <c r="L24" s="686"/>
      <c r="M24" s="729"/>
    </row>
    <row r="25" spans="1:13" ht="15.75">
      <c r="A25" s="689" t="s">
        <v>3024</v>
      </c>
      <c r="B25" s="738">
        <f>'Part III-Sources of Funds'!E37</f>
        <v>0</v>
      </c>
      <c r="C25" s="739">
        <f>'Part III-Sources of Funds'!I37</f>
        <v>0</v>
      </c>
      <c r="D25" s="740" t="s">
        <v>3025</v>
      </c>
      <c r="E25" s="686"/>
      <c r="F25" s="727"/>
      <c r="G25" s="686" t="s">
        <v>3026</v>
      </c>
      <c r="H25" s="686"/>
      <c r="I25" s="686"/>
      <c r="K25" s="739"/>
      <c r="L25" s="727"/>
      <c r="M25" s="729"/>
    </row>
    <row r="26" spans="1:13" ht="15">
      <c r="A26" s="686"/>
      <c r="B26" s="738"/>
      <c r="C26" s="739"/>
      <c r="D26" s="740"/>
      <c r="E26" s="686"/>
      <c r="F26" s="727"/>
      <c r="G26" s="686" t="s">
        <v>3027</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3028</v>
      </c>
      <c r="H28" s="686"/>
      <c r="I28" s="686"/>
      <c r="K28" s="739"/>
      <c r="L28" s="727"/>
      <c r="M28" s="686"/>
    </row>
    <row r="29" spans="1:13" ht="16.5" thickBot="1">
      <c r="A29" s="686"/>
      <c r="B29" s="742" t="s">
        <v>3029</v>
      </c>
      <c r="C29" s="743">
        <f>SUM(C25:C27)</f>
        <v>0</v>
      </c>
      <c r="D29" s="686"/>
      <c r="E29" s="686"/>
      <c r="F29" s="727"/>
      <c r="G29" s="686" t="s">
        <v>3030</v>
      </c>
      <c r="H29" s="686"/>
      <c r="I29" s="686"/>
      <c r="K29" s="741" t="e">
        <f>C29/K28</f>
        <v>#DIV/0!</v>
      </c>
      <c r="L29" s="727"/>
      <c r="M29" s="686"/>
    </row>
    <row r="30" spans="1:13" ht="16.5" thickTop="1">
      <c r="A30" s="689" t="s">
        <v>3031</v>
      </c>
      <c r="B30" s="742"/>
      <c r="C30" s="744">
        <f>'Part III-Sources of Funds'!$I$49+'Part III-Sources of Funds'!$I$50</f>
        <v>10113572</v>
      </c>
      <c r="D30" s="686"/>
      <c r="E30" s="686"/>
      <c r="F30" s="727"/>
      <c r="G30" s="686"/>
      <c r="H30" s="686"/>
      <c r="I30" s="686"/>
      <c r="K30" s="745"/>
      <c r="L30" s="727"/>
      <c r="M30" s="686"/>
    </row>
    <row r="31" spans="1:13" ht="15">
      <c r="A31" s="746" t="s">
        <v>3032</v>
      </c>
      <c r="B31" s="738">
        <f>'Part III-Sources of Funds'!E38</f>
        <v>0</v>
      </c>
      <c r="C31" s="739">
        <f>'Part III-Sources of Funds'!I38</f>
        <v>0</v>
      </c>
      <c r="D31" s="740"/>
      <c r="E31" s="686"/>
      <c r="F31" s="727"/>
      <c r="G31" s="686"/>
      <c r="H31" s="686"/>
      <c r="I31" s="686"/>
      <c r="K31" s="686"/>
      <c r="L31" s="727"/>
      <c r="M31" s="686"/>
    </row>
    <row r="32" spans="1:13" ht="15">
      <c r="A32" s="746" t="s">
        <v>3032</v>
      </c>
      <c r="B32" s="738">
        <f>'Part III-Sources of Funds'!E39</f>
        <v>0</v>
      </c>
      <c r="C32" s="739">
        <f>'Part III-Sources of Funds'!I39</f>
        <v>0</v>
      </c>
      <c r="D32" s="740"/>
      <c r="E32" s="686" t="s">
        <v>245</v>
      </c>
      <c r="F32" s="727"/>
      <c r="G32" s="686" t="s">
        <v>3033</v>
      </c>
      <c r="H32" s="686"/>
      <c r="I32" s="686"/>
      <c r="K32" s="739"/>
      <c r="L32" s="727"/>
      <c r="M32" s="727"/>
    </row>
    <row r="33" spans="1:13" ht="15">
      <c r="A33" s="686"/>
      <c r="B33" s="727"/>
      <c r="C33" s="747"/>
      <c r="D33" s="686"/>
      <c r="E33" s="686"/>
      <c r="F33" s="727"/>
      <c r="G33" s="1393" t="s">
        <v>3034</v>
      </c>
      <c r="H33" s="1393"/>
      <c r="I33" s="1393"/>
      <c r="K33" s="741" t="e">
        <f>$C$29/K32</f>
        <v>#DIV/0!</v>
      </c>
      <c r="L33" s="727"/>
      <c r="M33" s="748"/>
    </row>
    <row r="34" spans="1:13" ht="15.75">
      <c r="A34" s="686"/>
      <c r="B34" s="742" t="s">
        <v>3035</v>
      </c>
      <c r="C34" s="747">
        <f>SUM(C31:C32)</f>
        <v>0</v>
      </c>
      <c r="D34" s="686"/>
      <c r="E34" s="686"/>
      <c r="F34" s="686"/>
      <c r="G34" s="686"/>
      <c r="H34" s="686"/>
      <c r="I34" s="686"/>
      <c r="K34" s="727"/>
      <c r="L34" s="686"/>
      <c r="M34" s="748"/>
    </row>
    <row r="35" spans="1:13" ht="15.75">
      <c r="A35" s="686"/>
      <c r="B35" s="742"/>
      <c r="C35" s="686"/>
      <c r="D35" s="686"/>
      <c r="E35" s="686"/>
      <c r="F35" s="686"/>
      <c r="G35" s="1393" t="s">
        <v>3036</v>
      </c>
      <c r="H35" s="1393"/>
      <c r="I35" s="1393"/>
      <c r="K35" s="749" t="e">
        <f>(C36)/K25</f>
        <v>#DIV/0!</v>
      </c>
      <c r="L35" s="686"/>
      <c r="M35" s="727"/>
    </row>
    <row r="36" spans="1:13" ht="15.75">
      <c r="A36" s="686"/>
      <c r="B36" s="742" t="s">
        <v>3037</v>
      </c>
      <c r="C36" s="747">
        <f>C29+C34</f>
        <v>0</v>
      </c>
      <c r="D36" s="686"/>
      <c r="E36" s="686"/>
      <c r="F36" s="686"/>
      <c r="G36" s="686"/>
      <c r="H36" s="686"/>
      <c r="I36" s="686"/>
      <c r="K36" s="727"/>
      <c r="L36" s="686"/>
      <c r="M36" s="727"/>
    </row>
    <row r="37" spans="1:13" ht="15.75">
      <c r="A37" s="686"/>
      <c r="B37" s="742"/>
      <c r="C37" s="750"/>
      <c r="D37" s="686"/>
      <c r="E37" s="686"/>
      <c r="F37" s="686"/>
      <c r="G37" s="1393" t="s">
        <v>3038</v>
      </c>
      <c r="H37" s="1393"/>
      <c r="I37" s="1393"/>
      <c r="K37" s="1394" t="e">
        <f>+(C36)/K32</f>
        <v>#DIV/0!</v>
      </c>
      <c r="L37" s="686"/>
      <c r="M37" s="748"/>
    </row>
    <row r="38" spans="1:13" ht="15.75">
      <c r="A38" s="686"/>
      <c r="B38" s="742" t="s">
        <v>3039</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3040</v>
      </c>
      <c r="C40" s="751">
        <f>C36/H18</f>
        <v>0</v>
      </c>
      <c r="D40" s="686"/>
      <c r="E40" s="686"/>
      <c r="F40" s="689"/>
      <c r="G40" s="689" t="s">
        <v>3041</v>
      </c>
      <c r="H40" s="686"/>
      <c r="I40" s="686"/>
      <c r="K40" s="741">
        <f>C30/C18</f>
        <v>0.99791744740188093</v>
      </c>
      <c r="L40" s="686"/>
      <c r="M40" s="686"/>
    </row>
    <row r="46" spans="1:13" ht="15.75">
      <c r="A46" s="752" t="s">
        <v>3042</v>
      </c>
      <c r="B46" s="722"/>
      <c r="C46" s="722"/>
      <c r="D46" s="722"/>
      <c r="E46" s="722"/>
      <c r="F46" s="722"/>
      <c r="G46" s="722"/>
      <c r="H46" s="722"/>
      <c r="I46" s="722"/>
      <c r="J46" s="722"/>
      <c r="K46" s="722"/>
      <c r="L46" s="722"/>
      <c r="M46" s="686"/>
    </row>
    <row r="47" spans="1:13" ht="15.75">
      <c r="A47" s="752" t="str">
        <f>C8</f>
        <v>Sparrow Pointe at Forest Hill</v>
      </c>
      <c r="B47" s="722"/>
      <c r="C47" s="722"/>
      <c r="D47" s="722"/>
      <c r="E47" s="722"/>
      <c r="F47" s="722"/>
      <c r="G47" s="722"/>
      <c r="H47" s="722"/>
      <c r="I47" s="722"/>
      <c r="J47" s="722"/>
      <c r="K47" s="722"/>
      <c r="L47" s="722"/>
      <c r="M47" s="686"/>
    </row>
    <row r="50" spans="1:14" s="686" customFormat="1" ht="15.75">
      <c r="A50" s="689" t="s">
        <v>3043</v>
      </c>
      <c r="C50" s="753" t="s">
        <v>3044</v>
      </c>
      <c r="E50" s="754" t="s">
        <v>3523</v>
      </c>
      <c r="F50" s="755">
        <v>0.1</v>
      </c>
      <c r="G50" s="754" t="s">
        <v>3524</v>
      </c>
      <c r="H50" s="755">
        <v>0.05</v>
      </c>
      <c r="I50" s="754" t="s">
        <v>3525</v>
      </c>
      <c r="J50" s="755">
        <v>0.03</v>
      </c>
      <c r="K50" s="2221" t="s">
        <v>3045</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3046</v>
      </c>
      <c r="C52" s="758">
        <f>'Part VII-Pro Forma'!B14</f>
        <v>299544</v>
      </c>
      <c r="D52" s="758"/>
      <c r="E52" s="758">
        <f>$C$52</f>
        <v>299544</v>
      </c>
      <c r="F52" s="758"/>
      <c r="G52" s="758">
        <f>$C$52</f>
        <v>299544</v>
      </c>
      <c r="H52" s="758"/>
      <c r="I52" s="758">
        <f>$C$52</f>
        <v>299544</v>
      </c>
      <c r="J52" s="758"/>
      <c r="K52" s="758">
        <f>$C$52</f>
        <v>299544</v>
      </c>
      <c r="L52" s="759"/>
      <c r="M52" s="28"/>
      <c r="N52" s="28"/>
    </row>
    <row r="53" spans="1:14" s="686" customFormat="1" ht="18.75" customHeight="1">
      <c r="B53" s="757" t="s">
        <v>3049</v>
      </c>
      <c r="C53" s="758">
        <f>'Part VII-Pro Forma'!B15</f>
        <v>5990.88</v>
      </c>
      <c r="D53" s="758"/>
      <c r="E53" s="758">
        <f>$C$53</f>
        <v>5990.88</v>
      </c>
      <c r="F53" s="758"/>
      <c r="G53" s="758">
        <f>$C$53</f>
        <v>5990.88</v>
      </c>
      <c r="H53" s="758"/>
      <c r="I53" s="758">
        <f>$C$53</f>
        <v>5990.88</v>
      </c>
      <c r="J53" s="758"/>
      <c r="K53" s="758">
        <f>$C$53</f>
        <v>5990.88</v>
      </c>
      <c r="L53" s="759"/>
      <c r="M53" s="28"/>
      <c r="N53" s="28"/>
    </row>
    <row r="54" spans="1:14" s="686" customFormat="1" ht="18.75" customHeight="1">
      <c r="B54" s="757" t="s">
        <v>3047</v>
      </c>
      <c r="C54" s="758">
        <f>'Part VII-Pro Forma'!B16</f>
        <v>-21387.441600000002</v>
      </c>
      <c r="D54" s="758"/>
      <c r="E54" s="758">
        <f>-($C$52+E53)*F50</f>
        <v>-30553.488000000001</v>
      </c>
      <c r="F54" s="760"/>
      <c r="G54" s="758">
        <f>-($C$52+G53)*0.07</f>
        <v>-21387.441600000002</v>
      </c>
      <c r="H54" s="758"/>
      <c r="I54" s="758">
        <f>-($C$52+I53)*0.07</f>
        <v>-21387.441600000002</v>
      </c>
      <c r="J54" s="758"/>
      <c r="K54" s="758">
        <f>-($C$52+K53)*L54</f>
        <v>-30553.488000000001</v>
      </c>
      <c r="L54" s="761">
        <v>0.1</v>
      </c>
      <c r="M54" s="28"/>
      <c r="N54" s="28"/>
    </row>
    <row r="55" spans="1:14" s="686" customFormat="1" ht="18.75" customHeight="1">
      <c r="B55" s="757" t="s">
        <v>3048</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3050</v>
      </c>
      <c r="C56" s="764">
        <f>SUM(C52:C55)</f>
        <v>284147.43839999998</v>
      </c>
      <c r="D56" s="758"/>
      <c r="E56" s="764">
        <f>SUM(E52:E55)</f>
        <v>274981.39199999999</v>
      </c>
      <c r="F56" s="758"/>
      <c r="G56" s="764">
        <f>SUM(G52:G55)</f>
        <v>284147.43839999998</v>
      </c>
      <c r="H56" s="758"/>
      <c r="I56" s="764">
        <f>SUM(I52:I55)</f>
        <v>284147.43839999998</v>
      </c>
      <c r="J56" s="758"/>
      <c r="K56" s="764">
        <f>SUM(K52:K55)</f>
        <v>274981.39199999999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3051</v>
      </c>
      <c r="C58" s="758">
        <f>+'Part VI-Revenues &amp; Expenses'!F168+'Part VI-Revenues &amp; Expenses'!F177+'Part VI-Revenues &amp; Expenses'!K166+'Part VI-Revenues &amp; Expenses'!K175</f>
        <v>98730</v>
      </c>
      <c r="D58" s="758"/>
      <c r="E58" s="758">
        <f>$C$58</f>
        <v>98730</v>
      </c>
      <c r="F58" s="758"/>
      <c r="G58" s="758">
        <f>$C$58</f>
        <v>98730</v>
      </c>
      <c r="H58" s="758"/>
      <c r="I58" s="758">
        <f>$C$58</f>
        <v>98730</v>
      </c>
      <c r="J58" s="758"/>
      <c r="K58" s="758">
        <f>$C$58</f>
        <v>98730</v>
      </c>
      <c r="L58" s="759"/>
      <c r="M58" s="28"/>
      <c r="N58" s="28"/>
    </row>
    <row r="59" spans="1:14" s="686" customFormat="1" ht="18.75" customHeight="1">
      <c r="B59" s="757" t="s">
        <v>3052</v>
      </c>
      <c r="C59" s="758">
        <f>+'Part VI-Revenues &amp; Expenses'!F188</f>
        <v>26750</v>
      </c>
      <c r="D59" s="758"/>
      <c r="E59" s="758">
        <f>$C$59</f>
        <v>26750</v>
      </c>
      <c r="F59" s="758"/>
      <c r="G59" s="758">
        <f>$C$59</f>
        <v>26750</v>
      </c>
      <c r="H59" s="758"/>
      <c r="I59" s="758">
        <f>$C$59</f>
        <v>26750</v>
      </c>
      <c r="J59" s="758"/>
      <c r="K59" s="758">
        <f>$C$59*(1+$L$59)</f>
        <v>27820</v>
      </c>
      <c r="L59" s="766">
        <v>0.04</v>
      </c>
      <c r="M59" s="28"/>
      <c r="N59" s="28"/>
    </row>
    <row r="60" spans="1:14" s="686" customFormat="1" ht="18.75" customHeight="1">
      <c r="B60" s="757" t="s">
        <v>1387</v>
      </c>
      <c r="C60" s="758">
        <f>+'Part VI-Revenues &amp; Expenses'!K185</f>
        <v>20200</v>
      </c>
      <c r="D60" s="758"/>
      <c r="E60" s="758">
        <f>$C$60</f>
        <v>20200</v>
      </c>
      <c r="F60" s="758"/>
      <c r="G60" s="758">
        <f>$C$60</f>
        <v>20200</v>
      </c>
      <c r="H60" s="758"/>
      <c r="I60" s="758">
        <f>$C$60*(1+$J$50)</f>
        <v>20806</v>
      </c>
      <c r="J60" s="760"/>
      <c r="K60" s="758">
        <f>$C$60*(1+$J$50)</f>
        <v>20806</v>
      </c>
      <c r="L60" s="761">
        <v>0.03</v>
      </c>
      <c r="M60" s="28"/>
      <c r="N60" s="28"/>
    </row>
    <row r="61" spans="1:14" s="686" customFormat="1" ht="18.75" customHeight="1">
      <c r="B61" s="757" t="s">
        <v>1388</v>
      </c>
      <c r="C61" s="758">
        <f>+'Part VI-Revenues &amp; Expenses'!P167</f>
        <v>42570</v>
      </c>
      <c r="D61" s="758"/>
      <c r="E61" s="758">
        <f>$C$61</f>
        <v>42570</v>
      </c>
      <c r="F61" s="758"/>
      <c r="G61" s="758">
        <f>$C$61*(1+H50)</f>
        <v>44698.5</v>
      </c>
      <c r="H61" s="760"/>
      <c r="I61" s="758">
        <f>$C$61</f>
        <v>42570</v>
      </c>
      <c r="J61" s="758"/>
      <c r="K61" s="758">
        <f>$C$61*(1+$L$61)</f>
        <v>44698.5</v>
      </c>
      <c r="L61" s="761">
        <v>0.05</v>
      </c>
      <c r="M61" s="28"/>
      <c r="N61" s="28"/>
    </row>
    <row r="62" spans="1:14" s="686" customFormat="1" ht="18.75" customHeight="1">
      <c r="B62" s="763" t="s">
        <v>3053</v>
      </c>
      <c r="C62" s="764">
        <f>SUM(C58:C61)</f>
        <v>188250</v>
      </c>
      <c r="D62" s="758"/>
      <c r="E62" s="764">
        <f>SUM(E58:E61)</f>
        <v>188250</v>
      </c>
      <c r="F62" s="758"/>
      <c r="G62" s="764">
        <f>SUM(G58:G61)</f>
        <v>190378.5</v>
      </c>
      <c r="H62" s="758"/>
      <c r="I62" s="764">
        <f>SUM(I58:I61)</f>
        <v>188856</v>
      </c>
      <c r="J62" s="758"/>
      <c r="K62" s="764">
        <f>SUM(K58:K61)</f>
        <v>192054.5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3054</v>
      </c>
      <c r="C64" s="770">
        <f>C56-C62</f>
        <v>95897.438399999985</v>
      </c>
      <c r="D64" s="770"/>
      <c r="E64" s="770">
        <f>E56-E62</f>
        <v>86731.391999999993</v>
      </c>
      <c r="F64" s="770"/>
      <c r="G64" s="770">
        <f>G56-G62</f>
        <v>93768.938399999985</v>
      </c>
      <c r="H64" s="770"/>
      <c r="I64" s="770">
        <f>I56-I62</f>
        <v>95291.438399999985</v>
      </c>
      <c r="J64" s="770"/>
      <c r="K64" s="770">
        <f>K56-K62</f>
        <v>82926.891999999993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3055</v>
      </c>
      <c r="C66" s="765">
        <f>'Part VI-Revenues &amp; Expenses'!P179</f>
        <v>12500</v>
      </c>
      <c r="D66" s="765"/>
      <c r="E66" s="765">
        <f>$C$66</f>
        <v>12500</v>
      </c>
      <c r="F66" s="765"/>
      <c r="G66" s="765">
        <f>$C$66</f>
        <v>12500</v>
      </c>
      <c r="H66" s="765"/>
      <c r="I66" s="765">
        <f>$C$66</f>
        <v>12500</v>
      </c>
      <c r="J66" s="765"/>
      <c r="K66" s="765">
        <f>$C$66</f>
        <v>12500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3056</v>
      </c>
      <c r="C68" s="765">
        <f>'Part VI-Revenues &amp; Expenses'!P170</f>
        <v>24000</v>
      </c>
      <c r="D68" s="765"/>
      <c r="E68" s="765">
        <f>$C$68</f>
        <v>24000</v>
      </c>
      <c r="F68" s="765"/>
      <c r="G68" s="765">
        <f>$C$68</f>
        <v>24000</v>
      </c>
      <c r="H68" s="765"/>
      <c r="I68" s="765">
        <f>$C$68</f>
        <v>24000</v>
      </c>
      <c r="J68" s="765"/>
      <c r="K68" s="765">
        <f>$C$68</f>
        <v>24000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3057</v>
      </c>
      <c r="C70" s="773">
        <f>C64-C66-C68</f>
        <v>59397.438399999985</v>
      </c>
      <c r="D70" s="774"/>
      <c r="E70" s="773">
        <f>E64-E66-E68</f>
        <v>50231.391999999993</v>
      </c>
      <c r="F70" s="774"/>
      <c r="G70" s="773">
        <f>G64-G66-G68</f>
        <v>57268.938399999985</v>
      </c>
      <c r="H70" s="774"/>
      <c r="I70" s="773">
        <f>I64-I66-I68</f>
        <v>58791.438399999985</v>
      </c>
      <c r="J70" s="774"/>
      <c r="K70" s="773">
        <f>K64-K66-K68</f>
        <v>46426.891999999993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3058</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3059</v>
      </c>
      <c r="C73" s="1439">
        <f>C76/C62</f>
        <v>0.31552424116865863</v>
      </c>
      <c r="D73" s="778"/>
      <c r="E73" s="1439">
        <f>E76/E62</f>
        <v>0.26683342363877816</v>
      </c>
      <c r="F73" s="778"/>
      <c r="G73" s="1439">
        <f>G76/G62</f>
        <v>0.30081620771253048</v>
      </c>
      <c r="H73" s="778"/>
      <c r="I73" s="1439">
        <f>I76/I62</f>
        <v>0.31130299487440161</v>
      </c>
      <c r="J73" s="778"/>
      <c r="K73" s="1439">
        <f>K76/K62</f>
        <v>0.24173811079667487</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3060</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59397.438399999985</v>
      </c>
      <c r="D76" s="758"/>
      <c r="E76" s="758">
        <f>E70+E75</f>
        <v>50231.391999999993</v>
      </c>
      <c r="F76" s="758"/>
      <c r="G76" s="758">
        <f>G70+G75</f>
        <v>57268.938399999985</v>
      </c>
      <c r="H76" s="758"/>
      <c r="I76" s="758">
        <f>I70+I75</f>
        <v>58791.438399999985</v>
      </c>
      <c r="J76" s="758"/>
      <c r="K76" s="758">
        <f>K70+K75</f>
        <v>46426.891999999993</v>
      </c>
      <c r="L76" s="34"/>
      <c r="M76" s="28"/>
      <c r="N76" s="28"/>
    </row>
    <row r="77" spans="1:14" s="686" customFormat="1" ht="15" hidden="1">
      <c r="A77" s="28"/>
      <c r="B77" s="757" t="s">
        <v>3061</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3062</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3063</v>
      </c>
      <c r="C80" s="781" t="e">
        <f>MIN(C77,E77,G77,I77,K77)</f>
        <v>#NAME?</v>
      </c>
      <c r="D80" s="767"/>
      <c r="E80" s="767" t="s">
        <v>3064</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2947</v>
      </c>
      <c r="B2" s="696"/>
      <c r="C2" s="696"/>
      <c r="D2" s="696"/>
      <c r="E2" s="697"/>
      <c r="F2" s="696"/>
      <c r="G2" s="696"/>
      <c r="H2" s="696"/>
      <c r="I2" s="696"/>
      <c r="J2" s="696"/>
    </row>
    <row r="3" spans="1:10" ht="15">
      <c r="A3" s="699"/>
    </row>
    <row r="4" spans="1:10" ht="15">
      <c r="A4" s="699" t="s">
        <v>2948</v>
      </c>
      <c r="D4" s="698" t="s">
        <v>2949</v>
      </c>
    </row>
    <row r="5" spans="1:10" ht="15">
      <c r="A5" s="699"/>
    </row>
    <row r="6" spans="1:10" ht="15">
      <c r="A6" s="699" t="s">
        <v>2950</v>
      </c>
      <c r="D6" s="698" t="s">
        <v>2951</v>
      </c>
    </row>
    <row r="7" spans="1:10" ht="15">
      <c r="A7" s="699"/>
    </row>
    <row r="8" spans="1:10" ht="15">
      <c r="A8" s="699" t="s">
        <v>2952</v>
      </c>
      <c r="D8" s="700" t="s">
        <v>2953</v>
      </c>
    </row>
    <row r="9" spans="1:10" ht="15">
      <c r="A9" s="699"/>
    </row>
    <row r="10" spans="1:10" ht="15">
      <c r="A10" s="699" t="s">
        <v>2954</v>
      </c>
      <c r="D10" s="700" t="s">
        <v>2955</v>
      </c>
    </row>
    <row r="11" spans="1:10" ht="15">
      <c r="A11" s="699"/>
      <c r="D11" s="1467"/>
    </row>
    <row r="12" spans="1:10" ht="15">
      <c r="A12" s="699" t="s">
        <v>2956</v>
      </c>
      <c r="D12" s="698" t="s">
        <v>623</v>
      </c>
      <c r="F12" s="1467" t="str">
        <f>Overview!$C$8</f>
        <v>Sparrow Pointe at Forest Hill</v>
      </c>
    </row>
    <row r="13" spans="1:10" ht="15">
      <c r="A13" s="699"/>
      <c r="D13" s="698" t="s">
        <v>2957</v>
      </c>
      <c r="F13" s="1467" t="str">
        <f>Overview!E8</f>
        <v>2018-030</v>
      </c>
    </row>
    <row r="14" spans="1:10" ht="15">
      <c r="A14" s="699"/>
      <c r="D14" s="698" t="s">
        <v>2958</v>
      </c>
      <c r="F14" s="1467" t="str">
        <f>Overview!H8</f>
        <v>Moultrie, Colquitt</v>
      </c>
    </row>
    <row r="15" spans="1:10" ht="15">
      <c r="A15" s="699"/>
      <c r="D15" s="698" t="s">
        <v>3322</v>
      </c>
      <c r="F15" s="2224">
        <f>Overview!$C$25</f>
        <v>0</v>
      </c>
      <c r="G15" s="2224"/>
      <c r="H15" s="2224"/>
    </row>
    <row r="16" spans="1:10" ht="15">
      <c r="A16" s="699"/>
      <c r="D16" s="701" t="s">
        <v>2959</v>
      </c>
      <c r="F16" s="702">
        <f>Overview!C13</f>
        <v>50</v>
      </c>
      <c r="G16" s="703" t="s">
        <v>3323</v>
      </c>
      <c r="H16" s="1391">
        <f>Overview!E13</f>
        <v>50</v>
      </c>
    </row>
    <row r="17" spans="1:18" ht="15">
      <c r="A17" s="699"/>
      <c r="D17" s="701" t="s">
        <v>2922</v>
      </c>
      <c r="F17" s="702" t="str">
        <f>Overview!C14</f>
        <v>Family</v>
      </c>
    </row>
    <row r="18" spans="1:18" ht="15">
      <c r="A18" s="699"/>
      <c r="D18" s="701" t="s">
        <v>3327</v>
      </c>
      <c r="F18" s="1467" t="str">
        <f>Overview!H15</f>
        <v>Rural</v>
      </c>
    </row>
    <row r="19" spans="1:18" ht="15">
      <c r="A19" s="699"/>
      <c r="D19" s="701" t="s">
        <v>3324</v>
      </c>
      <c r="F19" s="1467" t="str">
        <f>Overview!E16</f>
        <v>No</v>
      </c>
    </row>
    <row r="20" spans="1:18" ht="15">
      <c r="A20" s="699"/>
      <c r="D20" s="701"/>
    </row>
    <row r="21" spans="1:18" ht="15">
      <c r="A21" s="704" t="s">
        <v>2960</v>
      </c>
    </row>
    <row r="22" spans="1:18" ht="111.75" customHeight="1">
      <c r="A22" s="2231" t="s">
        <v>3521</v>
      </c>
      <c r="B22" s="2231"/>
      <c r="C22" s="2231"/>
      <c r="D22" s="2231"/>
      <c r="E22" s="2231"/>
      <c r="F22" s="2231"/>
      <c r="G22" s="2231"/>
      <c r="H22" s="2231"/>
      <c r="I22" s="2231"/>
      <c r="J22" s="2231"/>
      <c r="L22" s="2239" t="s">
        <v>3332</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2961</v>
      </c>
    </row>
    <row r="27" spans="1:18" ht="14.25" customHeight="1">
      <c r="A27" s="2242" t="s">
        <v>2962</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2963</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2964</v>
      </c>
    </row>
    <row r="41" spans="1:10" ht="135" customHeight="1">
      <c r="A41" s="2241" t="s">
        <v>4293</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2965</v>
      </c>
    </row>
    <row r="44" spans="1:10" ht="33" customHeight="1">
      <c r="A44" s="2209" t="s">
        <v>4303</v>
      </c>
      <c r="B44" s="2210"/>
      <c r="C44" s="2210"/>
      <c r="D44" s="2210"/>
      <c r="E44" s="2210"/>
      <c r="F44" s="2210"/>
      <c r="G44" s="2210"/>
      <c r="H44" s="2210"/>
      <c r="I44" s="2210"/>
      <c r="J44" s="2209"/>
    </row>
    <row r="45" spans="1:10" ht="3" customHeight="1"/>
    <row r="46" spans="1:10" ht="72.75" customHeight="1">
      <c r="A46" s="2209" t="s">
        <v>4304</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4305</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4306</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3333</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4307</v>
      </c>
      <c r="B54" s="2228"/>
      <c r="C54" s="2228"/>
      <c r="D54" s="2228"/>
      <c r="E54" s="2228"/>
      <c r="F54" s="2228"/>
      <c r="G54" s="2228"/>
      <c r="H54" s="2228"/>
      <c r="I54" s="2228"/>
      <c r="J54" s="2228"/>
    </row>
    <row r="55" spans="1:17" ht="3" customHeight="1"/>
    <row r="56" spans="1:17" ht="73.5" customHeight="1">
      <c r="A56" s="2209" t="s">
        <v>4308</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2968</v>
      </c>
      <c r="L58" s="705" t="s">
        <v>3513</v>
      </c>
    </row>
    <row r="59" spans="1:17" ht="73.5" customHeight="1">
      <c r="A59" s="2231" t="s">
        <v>2969</v>
      </c>
      <c r="B59" s="2231"/>
      <c r="C59" s="2231"/>
      <c r="D59" s="2231"/>
      <c r="E59" s="2231"/>
      <c r="F59" s="2231"/>
      <c r="G59" s="2231"/>
      <c r="H59" s="2231"/>
      <c r="I59" s="2231"/>
      <c r="J59" s="2231"/>
      <c r="L59" s="706">
        <f>'Closing term sheet'!C133</f>
        <v>622142.5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8" t="s">
        <v>3410</v>
      </c>
      <c r="B61" s="2228"/>
      <c r="C61" s="2228"/>
      <c r="D61" s="2228"/>
      <c r="E61" s="2228"/>
      <c r="F61" s="2228"/>
      <c r="G61" s="2228"/>
      <c r="H61" s="2228"/>
      <c r="I61" s="2228"/>
      <c r="J61" s="711"/>
      <c r="L61" s="712">
        <f>'Part III-Sources of Funds'!I49</f>
        <v>7067172</v>
      </c>
      <c r="M61" s="713">
        <f>'Part IV-A-Uses of Funds'!$J$175</f>
        <v>850000</v>
      </c>
      <c r="N61" s="714">
        <f>'Part IV-A-Uses of Funds'!N168</f>
        <v>0.84</v>
      </c>
      <c r="O61" s="712">
        <f>'Part III-Sources of Funds'!I50</f>
        <v>3046400</v>
      </c>
      <c r="P61" s="713">
        <f>M61</f>
        <v>850000</v>
      </c>
      <c r="Q61" s="714">
        <f>'Part IV-A-Uses of Funds'!Q168</f>
        <v>0.35</v>
      </c>
    </row>
    <row r="62" spans="1:17" ht="18.75" customHeight="1">
      <c r="A62" s="715" t="s">
        <v>2970</v>
      </c>
    </row>
    <row r="63" spans="1:17" ht="159.75" customHeight="1">
      <c r="A63" s="2228" t="s">
        <v>4309</v>
      </c>
      <c r="B63" s="2228"/>
      <c r="C63" s="2228"/>
      <c r="D63" s="2228"/>
      <c r="E63" s="2228"/>
      <c r="F63" s="2228"/>
      <c r="G63" s="2228"/>
      <c r="H63" s="2228"/>
      <c r="I63" s="2228"/>
      <c r="J63" s="2228"/>
      <c r="L63" s="716" t="str">
        <f>'Part VII-Pro Forma'!K67</f>
        <v/>
      </c>
      <c r="M63" s="2232" t="s">
        <v>3520</v>
      </c>
      <c r="N63" s="2233"/>
    </row>
    <row r="64" spans="1:17" ht="6" customHeight="1">
      <c r="A64" s="704"/>
    </row>
    <row r="65" spans="1:10" ht="15">
      <c r="A65" s="704" t="s">
        <v>2971</v>
      </c>
    </row>
    <row r="66" spans="1:10" ht="66.75" customHeight="1">
      <c r="A66" s="2228" t="s">
        <v>2972</v>
      </c>
      <c r="B66" s="2228"/>
      <c r="C66" s="2228"/>
      <c r="D66" s="2228"/>
      <c r="E66" s="2228"/>
      <c r="F66" s="2228"/>
      <c r="G66" s="2228"/>
      <c r="H66" s="2228"/>
      <c r="I66" s="2228"/>
      <c r="J66" s="2228"/>
    </row>
    <row r="67" spans="1:10" ht="36" customHeight="1">
      <c r="A67" s="2228" t="s">
        <v>2973</v>
      </c>
      <c r="B67" s="2228"/>
      <c r="C67" s="2228"/>
      <c r="D67" s="2228"/>
      <c r="E67" s="2228"/>
      <c r="F67" s="2228"/>
      <c r="G67" s="2228"/>
      <c r="H67" s="2228"/>
      <c r="I67" s="2228"/>
      <c r="J67" s="2228"/>
    </row>
    <row r="68" spans="1:10" ht="6" customHeight="1">
      <c r="A68" s="704"/>
    </row>
    <row r="69" spans="1:10" ht="15">
      <c r="A69" s="704" t="s">
        <v>2974</v>
      </c>
    </row>
    <row r="70" spans="1:10" ht="105.75" customHeight="1">
      <c r="A70" s="2209" t="s">
        <v>2975</v>
      </c>
      <c r="B70" s="2209"/>
      <c r="C70" s="2209"/>
      <c r="D70" s="2209"/>
      <c r="E70" s="2209"/>
      <c r="F70" s="2209"/>
      <c r="G70" s="2209"/>
      <c r="H70" s="2209"/>
      <c r="I70" s="2209"/>
      <c r="J70" s="2209"/>
    </row>
    <row r="71" spans="1:10" ht="6" customHeight="1">
      <c r="A71" s="704"/>
    </row>
    <row r="72" spans="1:10" ht="15">
      <c r="A72" s="704" t="s">
        <v>2976</v>
      </c>
    </row>
    <row r="73" spans="1:10" ht="66" customHeight="1">
      <c r="A73" s="2209" t="s">
        <v>2977</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2978</v>
      </c>
      <c r="B75" s="703"/>
      <c r="C75" s="703"/>
      <c r="D75" s="1467"/>
      <c r="E75" s="703"/>
      <c r="F75" s="703"/>
      <c r="G75" s="703"/>
      <c r="H75" s="703"/>
      <c r="I75" s="703"/>
      <c r="J75" s="717"/>
    </row>
    <row r="76" spans="1:10" s="1464" customFormat="1" ht="63" customHeight="1">
      <c r="A76" s="2209" t="s">
        <v>4521</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2979</v>
      </c>
      <c r="B78" s="2236"/>
      <c r="C78" s="2236"/>
      <c r="D78" s="703"/>
      <c r="E78" s="703"/>
      <c r="F78" s="703"/>
      <c r="G78" s="703"/>
      <c r="H78" s="703"/>
      <c r="I78" s="703"/>
      <c r="J78" s="717"/>
    </row>
    <row r="79" spans="1:10" ht="41.25" customHeight="1">
      <c r="A79" s="2228" t="s">
        <v>4310</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2980</v>
      </c>
    </row>
    <row r="82" spans="1:15" ht="139.5" customHeight="1">
      <c r="A82" s="2228" t="s">
        <v>2981</v>
      </c>
      <c r="B82" s="2228"/>
      <c r="C82" s="2228"/>
      <c r="D82" s="2228"/>
      <c r="E82" s="2228"/>
      <c r="F82" s="2228"/>
      <c r="G82" s="2228"/>
      <c r="H82" s="2228"/>
      <c r="I82" s="2228"/>
      <c r="J82" s="2228"/>
      <c r="L82" s="2238" t="s">
        <v>2982</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2983</v>
      </c>
    </row>
    <row r="85" spans="1:15" ht="111" customHeight="1">
      <c r="A85" s="2228" t="s">
        <v>2984</v>
      </c>
      <c r="B85" s="2228"/>
      <c r="C85" s="2228"/>
      <c r="D85" s="2228"/>
      <c r="E85" s="2228"/>
      <c r="F85" s="2228"/>
      <c r="G85" s="2228"/>
      <c r="H85" s="2228"/>
      <c r="I85" s="2228"/>
      <c r="J85" s="2228"/>
      <c r="L85" s="2238" t="s">
        <v>2985</v>
      </c>
      <c r="M85" s="2238"/>
      <c r="N85" s="719" t="e">
        <f>'After-Tax Analysis'!G66</f>
        <v>#VALUE!</v>
      </c>
      <c r="O85" s="720" t="s">
        <v>2986</v>
      </c>
    </row>
    <row r="86" spans="1:15" ht="6" customHeight="1">
      <c r="A86" s="704"/>
    </row>
    <row r="87" spans="1:15" ht="15">
      <c r="A87" s="704" t="s">
        <v>2987</v>
      </c>
    </row>
    <row r="88" spans="1:15" ht="118.5" customHeight="1">
      <c r="A88" s="2209" t="s">
        <v>2988</v>
      </c>
      <c r="B88" s="2209"/>
      <c r="C88" s="2209"/>
      <c r="D88" s="2209"/>
      <c r="E88" s="2209"/>
      <c r="F88" s="2209"/>
      <c r="G88" s="2209"/>
      <c r="H88" s="2209"/>
      <c r="I88" s="2209"/>
      <c r="J88" s="2209"/>
    </row>
    <row r="89" spans="1:15" ht="20.25" customHeight="1">
      <c r="A89" s="2210" t="s">
        <v>2989</v>
      </c>
      <c r="B89" s="2210"/>
      <c r="C89" s="2210"/>
      <c r="D89" s="2209"/>
      <c r="E89" s="1457"/>
      <c r="F89" s="1457"/>
      <c r="G89" s="1457"/>
      <c r="H89" s="1457"/>
      <c r="I89" s="1457"/>
      <c r="J89" s="1457"/>
    </row>
    <row r="90" spans="1:15" ht="109.5" customHeight="1">
      <c r="A90" s="2226" t="s">
        <v>2990</v>
      </c>
      <c r="B90" s="2227"/>
      <c r="C90" s="2227"/>
      <c r="D90" s="2227"/>
      <c r="E90" s="2227"/>
      <c r="F90" s="2227"/>
      <c r="G90" s="2227"/>
      <c r="H90" s="2227"/>
      <c r="I90" s="2227"/>
      <c r="J90" s="2227"/>
    </row>
    <row r="91" spans="1:15" ht="11.25" customHeight="1">
      <c r="A91" s="704"/>
    </row>
    <row r="92" spans="1:15" ht="15">
      <c r="A92" s="704" t="s">
        <v>2991</v>
      </c>
    </row>
    <row r="93" spans="1:15" ht="122.25" customHeight="1">
      <c r="A93" s="2231" t="s">
        <v>2992</v>
      </c>
      <c r="B93" s="2231"/>
      <c r="C93" s="2231"/>
      <c r="D93" s="2231"/>
      <c r="E93" s="2231"/>
      <c r="F93" s="2231"/>
      <c r="G93" s="2231"/>
      <c r="H93" s="2231"/>
      <c r="I93" s="2231"/>
      <c r="J93" s="2231"/>
      <c r="L93" s="1395" t="str">
        <f>'Part VII-Pro Forma'!K67</f>
        <v/>
      </c>
      <c r="M93" s="2234" t="s">
        <v>2993</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2994</v>
      </c>
      <c r="B97" s="2210"/>
      <c r="C97" s="2210"/>
      <c r="D97" s="1457"/>
      <c r="E97" s="1457"/>
      <c r="F97" s="1457"/>
      <c r="G97" s="1457"/>
      <c r="H97" s="1457"/>
      <c r="I97" s="1457"/>
      <c r="J97" s="717"/>
    </row>
    <row r="98" spans="1:10" ht="37.5" customHeight="1">
      <c r="A98" s="2228" t="s">
        <v>2995</v>
      </c>
      <c r="B98" s="2228"/>
      <c r="C98" s="2228"/>
      <c r="D98" s="2228"/>
      <c r="E98" s="2228"/>
      <c r="F98" s="2228"/>
      <c r="G98" s="2228"/>
      <c r="H98" s="2228"/>
      <c r="I98" s="2228"/>
      <c r="J98" s="2228"/>
    </row>
    <row r="99" spans="1:10" ht="6" customHeight="1">
      <c r="A99" s="704"/>
    </row>
    <row r="100" spans="1:10" ht="15">
      <c r="A100" s="704" t="s">
        <v>2996</v>
      </c>
    </row>
    <row r="101" spans="1:10" ht="43.5" customHeight="1">
      <c r="A101" s="2209" t="s">
        <v>2997</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2998</v>
      </c>
    </row>
    <row r="105" spans="1:10">
      <c r="A105" s="2229" t="s">
        <v>2999</v>
      </c>
      <c r="B105" s="2229"/>
      <c r="C105" s="2229"/>
      <c r="D105" s="2229"/>
      <c r="E105" s="2229"/>
      <c r="F105" s="2229"/>
      <c r="G105" s="2229"/>
      <c r="H105" s="2229"/>
      <c r="I105" s="2229"/>
      <c r="J105" s="2229"/>
    </row>
    <row r="107" spans="1:10" ht="15" thickBot="1">
      <c r="A107" s="721"/>
      <c r="B107" s="698" t="s">
        <v>3000</v>
      </c>
    </row>
    <row r="110" spans="1:10" ht="15" thickBot="1">
      <c r="A110" s="721"/>
      <c r="B110" s="698" t="s">
        <v>3001</v>
      </c>
    </row>
    <row r="112" spans="1:10">
      <c r="A112" s="698" t="s">
        <v>3002</v>
      </c>
    </row>
    <row r="115" spans="1:10" ht="15" thickBot="1">
      <c r="A115" s="721"/>
      <c r="B115" s="721"/>
      <c r="C115" s="721"/>
      <c r="D115" s="721"/>
      <c r="E115" s="721"/>
      <c r="H115" s="721"/>
      <c r="I115" s="721"/>
      <c r="J115" s="721"/>
    </row>
    <row r="116" spans="1:10">
      <c r="A116" s="2225" t="s">
        <v>4311</v>
      </c>
      <c r="B116" s="2225"/>
      <c r="C116" s="2225"/>
      <c r="D116" s="2225"/>
      <c r="E116" s="2225"/>
      <c r="H116" s="2225" t="s">
        <v>3003</v>
      </c>
      <c r="I116" s="2225"/>
      <c r="J116" s="2225"/>
    </row>
    <row r="118" spans="1:10" ht="15" thickBot="1">
      <c r="A118" s="698" t="s">
        <v>3004</v>
      </c>
      <c r="B118" s="721"/>
      <c r="C118" s="721"/>
      <c r="H118" s="698" t="s">
        <v>3004</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3065</v>
      </c>
      <c r="B1" s="783"/>
      <c r="C1" s="698" t="str">
        <f>Overview!C8</f>
        <v>Sparrow Pointe at Forest Hill</v>
      </c>
    </row>
    <row r="2" spans="1:15" ht="13.5" customHeight="1"/>
    <row r="3" spans="1:15" ht="13.5" customHeight="1">
      <c r="A3" s="699" t="s">
        <v>3066</v>
      </c>
      <c r="C3" s="698" t="s">
        <v>3067</v>
      </c>
      <c r="E3" s="784">
        <f>SUM('Part IV-A-Uses of Funds'!J149,'Part IV-A-Uses of Funds'!M149,'Part IV-A-Uses of Funds'!P149)</f>
        <v>9421953</v>
      </c>
      <c r="F3" s="1467" t="s">
        <v>3068</v>
      </c>
      <c r="H3" s="1440">
        <v>27.5</v>
      </c>
      <c r="I3" s="698" t="s">
        <v>2484</v>
      </c>
      <c r="K3" s="703" t="s">
        <v>3089</v>
      </c>
      <c r="M3" s="1467"/>
      <c r="O3" s="785"/>
    </row>
    <row r="4" spans="1:15" ht="13.5" customHeight="1">
      <c r="C4" s="698" t="s">
        <v>3578</v>
      </c>
      <c r="E4" s="784">
        <f>SUM('Part IV-A-Uses of Funds'!G85:H89)</f>
        <v>0</v>
      </c>
      <c r="F4" s="1467" t="s">
        <v>4523</v>
      </c>
      <c r="H4" s="699">
        <f>'Part III-Sources of Funds'!M37</f>
        <v>0</v>
      </c>
      <c r="I4" s="698" t="s">
        <v>2484</v>
      </c>
      <c r="K4" s="786" t="s">
        <v>3334</v>
      </c>
      <c r="M4" s="1467"/>
    </row>
    <row r="5" spans="1:15" ht="13.5" customHeight="1">
      <c r="C5" s="698" t="s">
        <v>3579</v>
      </c>
      <c r="E5" s="784">
        <f>SUM('Part IV-A-Uses of Funds'!G96:H102)</f>
        <v>121500</v>
      </c>
      <c r="F5" s="1467" t="s">
        <v>4522</v>
      </c>
      <c r="H5" s="1440">
        <v>15</v>
      </c>
      <c r="I5" s="698" t="s">
        <v>2484</v>
      </c>
      <c r="K5" s="785">
        <f>-E6</f>
        <v>-10113572</v>
      </c>
    </row>
    <row r="6" spans="1:15" ht="13.5" customHeight="1">
      <c r="C6" s="698" t="s">
        <v>3069</v>
      </c>
      <c r="E6" s="787">
        <f>'Part III-Sources of Funds'!$I$49+'Part III-Sources of Funds'!$I$50</f>
        <v>10113572</v>
      </c>
      <c r="F6" s="1467" t="s">
        <v>3070</v>
      </c>
      <c r="H6" s="788">
        <v>0.35</v>
      </c>
      <c r="K6" s="785" t="e">
        <f>C24</f>
        <v>#VALUE!</v>
      </c>
      <c r="M6" s="698" t="s">
        <v>3071</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3072</v>
      </c>
      <c r="O8" s="1401" t="e">
        <f>'Part VII-Pro Forma'!$K$67+'Part VII-Pro Forma'!$K$68+'Part VII-Pro Forma'!$K$69</f>
        <v>#VALUE!</v>
      </c>
    </row>
    <row r="9" spans="1:15" ht="13.5" customHeight="1">
      <c r="A9" s="698" t="s">
        <v>3073</v>
      </c>
      <c r="C9" s="792">
        <f>'Part VII-Pro Forma'!B30</f>
        <v>33401.438399999985</v>
      </c>
      <c r="D9" s="792">
        <f>'Part VII-Pro Forma'!C30</f>
        <v>53337.887167999987</v>
      </c>
      <c r="E9" s="792">
        <f>'Part VII-Pro Forma'!D30</f>
        <v>52189.319911359984</v>
      </c>
      <c r="F9" s="792">
        <f>'Part VII-Pro Forma'!E30</f>
        <v>50949.589559587177</v>
      </c>
      <c r="G9" s="792">
        <f>'Part VII-Pro Forma'!F30</f>
        <v>49612.431898278919</v>
      </c>
      <c r="H9" s="792">
        <f>'Part VII-Pro Forma'!G30</f>
        <v>48174.46160016959</v>
      </c>
      <c r="I9" s="792">
        <f>'Part VII-Pro Forma'!H30</f>
        <v>46633.168128015735</v>
      </c>
      <c r="K9" s="785" t="e">
        <f>F24</f>
        <v>#VALUE!</v>
      </c>
      <c r="N9" s="793" t="s">
        <v>3075</v>
      </c>
    </row>
    <row r="10" spans="1:15" ht="13.5" customHeight="1">
      <c r="A10" s="698" t="s">
        <v>3074</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3076</v>
      </c>
      <c r="O10" s="790"/>
    </row>
    <row r="11" spans="1:15" ht="13.5" customHeight="1">
      <c r="A11" s="698" t="s">
        <v>3074</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3074</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3078</v>
      </c>
      <c r="N12" s="795">
        <v>0.06</v>
      </c>
      <c r="O12" s="790">
        <f>N12*O6</f>
        <v>0</v>
      </c>
    </row>
    <row r="13" spans="1:15" ht="13.5" customHeight="1">
      <c r="A13" s="796" t="s">
        <v>3581</v>
      </c>
      <c r="B13" s="797"/>
      <c r="C13" s="1399">
        <f>'Part VII-Pro Forma'!B21</f>
        <v>-12500</v>
      </c>
      <c r="D13" s="1399">
        <f>'Part VII-Pro Forma'!C21</f>
        <v>-12875</v>
      </c>
      <c r="E13" s="1399">
        <f>'Part VII-Pro Forma'!D21</f>
        <v>-13261.25</v>
      </c>
      <c r="F13" s="1399">
        <f>'Part VII-Pro Forma'!E21</f>
        <v>-13659.0875</v>
      </c>
      <c r="G13" s="1399">
        <f>'Part VII-Pro Forma'!F21</f>
        <v>-14068.860124999999</v>
      </c>
      <c r="H13" s="1399">
        <f>'Part VII-Pro Forma'!G21</f>
        <v>-14490.925928749997</v>
      </c>
      <c r="I13" s="1399">
        <f>'Part VII-Pro Forma'!H21</f>
        <v>-14925.653706612498</v>
      </c>
      <c r="K13" s="785" t="e">
        <f>C44</f>
        <v>#VALUE!</v>
      </c>
      <c r="O13" s="790"/>
    </row>
    <row r="14" spans="1:15" ht="13.5" customHeight="1">
      <c r="A14" s="796" t="s">
        <v>3582</v>
      </c>
      <c r="B14" s="797"/>
      <c r="C14" s="1399">
        <f>'Part VII-Pro Forma'!B29</f>
        <v>-20996</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3081</v>
      </c>
      <c r="O14" s="790" t="e">
        <f>O6-O8-O12</f>
        <v>#VALUE!</v>
      </c>
    </row>
    <row r="15" spans="1:15" ht="13.5" customHeight="1">
      <c r="A15" s="798" t="s">
        <v>3077</v>
      </c>
      <c r="C15" s="799">
        <f t="shared" ref="C15:I15" si="0">$E$3/$H$3</f>
        <v>342616.47272727272</v>
      </c>
      <c r="D15" s="799">
        <f t="shared" si="0"/>
        <v>342616.47272727272</v>
      </c>
      <c r="E15" s="799">
        <f t="shared" si="0"/>
        <v>342616.47272727272</v>
      </c>
      <c r="F15" s="799">
        <f t="shared" si="0"/>
        <v>342616.47272727272</v>
      </c>
      <c r="G15" s="799">
        <f t="shared" si="0"/>
        <v>342616.47272727272</v>
      </c>
      <c r="H15" s="799">
        <f t="shared" si="0"/>
        <v>342616.47272727272</v>
      </c>
      <c r="I15" s="799">
        <f t="shared" si="0"/>
        <v>342616.47272727272</v>
      </c>
      <c r="K15" s="785" t="e">
        <f>E44</f>
        <v>#VALUE!</v>
      </c>
      <c r="O15" s="790"/>
    </row>
    <row r="16" spans="1:15" ht="13.5" customHeight="1">
      <c r="A16" s="798" t="s">
        <v>3079</v>
      </c>
      <c r="C16" s="799">
        <f>IF(C$8&lt;=$H$4,($E$4/$H$4),0)+IF(C$8&lt;=$H$5,($E$5/$H$5),0)</f>
        <v>8100</v>
      </c>
      <c r="D16" s="799">
        <f t="shared" ref="D16:I16" si="1">IF(D$8&lt;=$H$4,($E$4/$H$4),0)+IF(D$8&lt;=$H$5,($E$5/$H$5),0)</f>
        <v>8100</v>
      </c>
      <c r="E16" s="799">
        <f t="shared" si="1"/>
        <v>8100</v>
      </c>
      <c r="F16" s="799">
        <f t="shared" si="1"/>
        <v>8100</v>
      </c>
      <c r="G16" s="799">
        <f t="shared" si="1"/>
        <v>8100</v>
      </c>
      <c r="H16" s="799">
        <f t="shared" si="1"/>
        <v>8100</v>
      </c>
      <c r="I16" s="799">
        <f t="shared" si="1"/>
        <v>8100</v>
      </c>
      <c r="K16" s="785" t="e">
        <f>F44</f>
        <v>#VALUE!</v>
      </c>
      <c r="M16" s="698" t="s">
        <v>3083</v>
      </c>
      <c r="O16" s="790">
        <f>E3</f>
        <v>9421953</v>
      </c>
    </row>
    <row r="17" spans="1:17" ht="13.5" customHeight="1">
      <c r="A17" s="798" t="s">
        <v>3080</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3077</v>
      </c>
      <c r="O17" s="790">
        <f>20*(E3/H3)</f>
        <v>6852329.4545454541</v>
      </c>
    </row>
    <row r="18" spans="1:17" ht="13.5" customHeight="1">
      <c r="A18" s="798" t="s">
        <v>3082</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3087</v>
      </c>
      <c r="O19" s="790">
        <f>O16-O17</f>
        <v>2569623.5454545459</v>
      </c>
    </row>
    <row r="20" spans="1:17" ht="13.5" customHeight="1">
      <c r="A20" s="698" t="s">
        <v>3084</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3085</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3086</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3071</v>
      </c>
      <c r="O22" s="790">
        <f>O6</f>
        <v>0</v>
      </c>
    </row>
    <row r="23" spans="1:17" ht="13.5" customHeight="1">
      <c r="A23" s="698" t="s">
        <v>3088</v>
      </c>
      <c r="C23" s="792">
        <v>0</v>
      </c>
      <c r="D23" s="792">
        <v>0</v>
      </c>
      <c r="E23" s="792">
        <v>0</v>
      </c>
      <c r="F23" s="792">
        <v>0</v>
      </c>
      <c r="G23" s="792">
        <v>0</v>
      </c>
      <c r="H23" s="792">
        <v>0</v>
      </c>
      <c r="I23" s="792">
        <v>0</v>
      </c>
      <c r="K23" s="785" t="e">
        <f>F64</f>
        <v>#VALUE!</v>
      </c>
      <c r="M23" s="698" t="s">
        <v>3090</v>
      </c>
      <c r="O23" s="790">
        <f>O19</f>
        <v>2569623.5454545459</v>
      </c>
    </row>
    <row r="24" spans="1:17" ht="13.5" customHeight="1">
      <c r="A24" s="698" t="s">
        <v>3089</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3091</v>
      </c>
      <c r="O25" s="790">
        <f>O22-O23</f>
        <v>-2569623.5454545459</v>
      </c>
      <c r="Q25" s="801"/>
    </row>
    <row r="26" spans="1:17" ht="13.5" customHeight="1">
      <c r="A26" s="802"/>
      <c r="B26" s="802"/>
      <c r="C26" s="802"/>
      <c r="D26" s="802"/>
      <c r="E26" s="802"/>
      <c r="F26" s="802"/>
      <c r="G26" s="802"/>
      <c r="H26" s="802"/>
      <c r="I26" s="802"/>
      <c r="K26" s="785"/>
      <c r="O26" s="790"/>
    </row>
    <row r="27" spans="1:17" ht="13.5" customHeight="1">
      <c r="K27" s="785"/>
      <c r="M27" s="698" t="s">
        <v>3092</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3073</v>
      </c>
      <c r="C29" s="792">
        <f>'Part VII-Pro Forma'!I30</f>
        <v>44981.911505293967</v>
      </c>
      <c r="D29" s="792">
        <f>'Part VII-Pro Forma'!J30</f>
        <v>43217.917950559437</v>
      </c>
      <c r="E29" s="792">
        <f>'Part VII-Pro Forma'!K30</f>
        <v>41334.275371185038</v>
      </c>
      <c r="F29" s="792">
        <f>'Part VII-Pro Forma'!B60</f>
        <v>39328.928712071523</v>
      </c>
      <c r="G29" s="792">
        <f>'Part VII-Pro Forma'!C60</f>
        <v>37194.675154779557</v>
      </c>
      <c r="H29" s="792">
        <f>'Part VII-Pro Forma'!D60</f>
        <v>34928.159162395939</v>
      </c>
      <c r="I29" s="792">
        <f>'Part VII-Pro Forma'!E60</f>
        <v>32521.867365300182</v>
      </c>
      <c r="N29" s="803"/>
      <c r="O29" s="803"/>
    </row>
    <row r="30" spans="1:17" ht="13.5" customHeight="1">
      <c r="A30" s="698" t="s">
        <v>3074</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3074</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3093</v>
      </c>
      <c r="O31" s="792">
        <f>O25*O27</f>
        <v>-513924.70909090922</v>
      </c>
    </row>
    <row r="32" spans="1:17" ht="13.5" customHeight="1">
      <c r="A32" s="698" t="s">
        <v>3074</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-15373.423317810875</v>
      </c>
      <c r="D33" s="1399">
        <f>'Part VII-Pro Forma'!J21</f>
        <v>-15834.626017345199</v>
      </c>
      <c r="E33" s="1399">
        <f>'Part VII-Pro Forma'!K21</f>
        <v>-16309.664797865556</v>
      </c>
      <c r="F33" s="1399">
        <f>'Part VII-Pro Forma'!B51</f>
        <v>-16798.954741801521</v>
      </c>
      <c r="G33" s="1399">
        <f>'Part VII-Pro Forma'!C51</f>
        <v>-17302.923384055568</v>
      </c>
      <c r="H33" s="1399">
        <f>'Part VII-Pro Forma'!D51</f>
        <v>-17822.011085577233</v>
      </c>
      <c r="I33" s="1399">
        <f>'Part VII-Pro Forma'!E51</f>
        <v>-18356.67141814455</v>
      </c>
      <c r="K33" s="698" t="s">
        <v>245</v>
      </c>
      <c r="M33" s="698" t="s">
        <v>3094</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3077</v>
      </c>
      <c r="C35" s="799">
        <f t="shared" ref="C35:I35" si="8">$E$3/$H$3</f>
        <v>342616.47272727272</v>
      </c>
      <c r="D35" s="799">
        <f t="shared" si="8"/>
        <v>342616.47272727272</v>
      </c>
      <c r="E35" s="799">
        <f t="shared" si="8"/>
        <v>342616.47272727272</v>
      </c>
      <c r="F35" s="799">
        <f t="shared" si="8"/>
        <v>342616.47272727272</v>
      </c>
      <c r="G35" s="799">
        <f t="shared" si="8"/>
        <v>342616.47272727272</v>
      </c>
      <c r="H35" s="799">
        <f t="shared" si="8"/>
        <v>342616.47272727272</v>
      </c>
      <c r="I35" s="799">
        <f t="shared" si="8"/>
        <v>342616.47272727272</v>
      </c>
    </row>
    <row r="36" spans="1:15" ht="13.5" customHeight="1">
      <c r="A36" s="798" t="s">
        <v>3079</v>
      </c>
      <c r="C36" s="792">
        <f>IF(C$28&lt;=$H$4,($E$4/$H$4),0)+IF(C$28&lt;=$H$5,($E$5/$H$5),0)</f>
        <v>8100</v>
      </c>
      <c r="D36" s="792">
        <f t="shared" ref="D36:I36" si="9">IF(D$28&lt;=$H$4,($E$4/$H$4),0)+IF(D$28&lt;=$H$5,($E$5/$H$5),0)</f>
        <v>8100</v>
      </c>
      <c r="E36" s="792">
        <f t="shared" si="9"/>
        <v>8100</v>
      </c>
      <c r="F36" s="792">
        <f t="shared" si="9"/>
        <v>8100</v>
      </c>
      <c r="G36" s="792">
        <f t="shared" si="9"/>
        <v>8100</v>
      </c>
      <c r="H36" s="792">
        <f t="shared" si="9"/>
        <v>8100</v>
      </c>
      <c r="I36" s="792">
        <f t="shared" si="9"/>
        <v>8100</v>
      </c>
    </row>
    <row r="37" spans="1:15" ht="13.5" customHeight="1">
      <c r="A37" s="798" t="s">
        <v>3080</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3082</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3084</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3085</v>
      </c>
      <c r="C41" s="800">
        <f>C21</f>
        <v>850000</v>
      </c>
      <c r="D41" s="800">
        <f>C41</f>
        <v>850000</v>
      </c>
      <c r="E41" s="800">
        <f>D41</f>
        <v>850000</v>
      </c>
      <c r="F41" s="800">
        <v>0</v>
      </c>
      <c r="G41" s="800">
        <v>0</v>
      </c>
      <c r="H41" s="800">
        <v>0</v>
      </c>
      <c r="I41" s="800">
        <v>0</v>
      </c>
    </row>
    <row r="42" spans="1:15" ht="13.5" customHeight="1">
      <c r="A42" s="698" t="s">
        <v>3086</v>
      </c>
      <c r="C42" s="800">
        <f>C22</f>
        <v>850000</v>
      </c>
      <c r="D42" s="800">
        <f>C42</f>
        <v>850000</v>
      </c>
      <c r="E42" s="800">
        <f>D42</f>
        <v>850000</v>
      </c>
      <c r="F42" s="800">
        <v>0</v>
      </c>
      <c r="G42" s="800">
        <v>0</v>
      </c>
      <c r="H42" s="800">
        <v>0</v>
      </c>
      <c r="I42" s="800">
        <v>0</v>
      </c>
    </row>
    <row r="43" spans="1:15" ht="13.5" customHeight="1">
      <c r="A43" s="698" t="s">
        <v>3088</v>
      </c>
      <c r="C43" s="794">
        <v>0</v>
      </c>
      <c r="D43" s="794">
        <v>0</v>
      </c>
      <c r="E43" s="794">
        <v>0</v>
      </c>
      <c r="F43" s="794">
        <v>0</v>
      </c>
      <c r="G43" s="794">
        <v>0</v>
      </c>
      <c r="H43" s="794">
        <v>0</v>
      </c>
      <c r="I43" s="794">
        <v>0</v>
      </c>
    </row>
    <row r="44" spans="1:15" ht="13.5" customHeight="1">
      <c r="A44" s="698" t="s">
        <v>3089</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3073</v>
      </c>
      <c r="C49" s="792">
        <f>'Part VII-Pro Forma'!F60</f>
        <v>29972.123282852117</v>
      </c>
      <c r="D49" s="792">
        <f>'Part VII-Pro Forma'!G57</f>
        <v>0</v>
      </c>
      <c r="E49" s="792">
        <f>'Part VII-Pro Forma'!H57</f>
        <v>0</v>
      </c>
      <c r="F49" s="792">
        <f>'Part VII-Pro Forma'!I57</f>
        <v>0</v>
      </c>
      <c r="G49" s="792">
        <f>'Part VII-Pro Forma'!J57</f>
        <v>0</v>
      </c>
      <c r="H49" s="792">
        <f>'Part VII-Pro Forma'!K57</f>
        <v>0</v>
      </c>
    </row>
    <row r="50" spans="1:10" ht="13.5" customHeight="1">
      <c r="A50" s="698" t="s">
        <v>3074</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3074</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3074</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-18907.371560688887</v>
      </c>
      <c r="D53" s="1399">
        <f>'Part VII-Pro Forma'!G51</f>
        <v>-19474.592707509557</v>
      </c>
      <c r="E53" s="1399">
        <f>'Part VII-Pro Forma'!H51</f>
        <v>-20058.830488734839</v>
      </c>
      <c r="F53" s="1399">
        <f>'Part VII-Pro Forma'!I51</f>
        <v>-20660.595403396885</v>
      </c>
      <c r="G53" s="1399">
        <f>'Part VII-Pro Forma'!J51</f>
        <v>-21280.413265498792</v>
      </c>
      <c r="H53" s="1399">
        <f>'Part VII-Pro Forma'!K51</f>
        <v>-21918.825663463755</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3077</v>
      </c>
      <c r="C55" s="799">
        <f t="shared" ref="C55:H55" si="14">$E$3/$H$3</f>
        <v>342616.47272727272</v>
      </c>
      <c r="D55" s="799">
        <f t="shared" si="14"/>
        <v>342616.47272727272</v>
      </c>
      <c r="E55" s="799">
        <f t="shared" si="14"/>
        <v>342616.47272727272</v>
      </c>
      <c r="F55" s="799">
        <f t="shared" si="14"/>
        <v>342616.47272727272</v>
      </c>
      <c r="G55" s="799">
        <f t="shared" si="14"/>
        <v>342616.47272727272</v>
      </c>
      <c r="H55" s="799">
        <f t="shared" si="14"/>
        <v>342616.47272727272</v>
      </c>
    </row>
    <row r="56" spans="1:10" ht="13.5" customHeight="1">
      <c r="A56" s="798" t="s">
        <v>3079</v>
      </c>
      <c r="C56" s="792">
        <f t="shared" ref="C56:H56" si="15">IF(C$48&lt;=$H$4,($E$4/$H$4),0)+IF(C$48&lt;=$H$5,($E$5/$H$5),0)</f>
        <v>8100</v>
      </c>
      <c r="D56" s="792">
        <f t="shared" si="15"/>
        <v>0</v>
      </c>
      <c r="E56" s="792">
        <f t="shared" si="15"/>
        <v>0</v>
      </c>
      <c r="F56" s="792">
        <f t="shared" si="15"/>
        <v>0</v>
      </c>
      <c r="G56" s="792">
        <f t="shared" si="15"/>
        <v>0</v>
      </c>
      <c r="H56" s="792">
        <f t="shared" si="15"/>
        <v>0</v>
      </c>
    </row>
    <row r="57" spans="1:10" ht="13.5" customHeight="1">
      <c r="A57" s="798" t="s">
        <v>3080</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3082</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3084</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3085</v>
      </c>
      <c r="C61" s="799">
        <v>0</v>
      </c>
      <c r="D61" s="799">
        <v>0</v>
      </c>
      <c r="E61" s="799">
        <v>0</v>
      </c>
      <c r="F61" s="799">
        <v>0</v>
      </c>
      <c r="G61" s="799">
        <v>0</v>
      </c>
      <c r="H61" s="792">
        <v>0</v>
      </c>
    </row>
    <row r="62" spans="1:10">
      <c r="A62" s="698" t="s">
        <v>3086</v>
      </c>
      <c r="C62" s="799">
        <v>0</v>
      </c>
      <c r="D62" s="792">
        <v>0</v>
      </c>
      <c r="E62" s="792">
        <v>0</v>
      </c>
      <c r="F62" s="792">
        <v>0</v>
      </c>
      <c r="G62" s="792">
        <v>0</v>
      </c>
      <c r="H62" s="792">
        <v>0</v>
      </c>
    </row>
    <row r="63" spans="1:10">
      <c r="A63" s="698" t="s">
        <v>3088</v>
      </c>
      <c r="C63" s="792">
        <v>0</v>
      </c>
      <c r="D63" s="792">
        <v>0</v>
      </c>
      <c r="E63" s="792">
        <v>0</v>
      </c>
      <c r="F63" s="792">
        <v>0</v>
      </c>
      <c r="G63" s="792">
        <v>0</v>
      </c>
      <c r="H63" s="792" t="e">
        <f>O33</f>
        <v>#VALUE!</v>
      </c>
    </row>
    <row r="64" spans="1:10">
      <c r="A64" s="698" t="s">
        <v>3089</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3095</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- 2018-030 Sparrow Pointe at Forest Hill, Moultrie, Colquitt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4519</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2379</v>
      </c>
      <c r="F5" s="306"/>
      <c r="G5" s="279" t="s">
        <v>445</v>
      </c>
      <c r="L5" s="931"/>
      <c r="P5" s="1180" t="s">
        <v>3898</v>
      </c>
    </row>
    <row r="6" spans="1:16" s="305" customFormat="1" ht="12" customHeight="1" thickBot="1">
      <c r="B6" s="1649" t="s">
        <v>4551</v>
      </c>
      <c r="C6" s="1649"/>
      <c r="D6" s="1649"/>
      <c r="E6" s="1433"/>
      <c r="F6" s="308"/>
      <c r="G6" s="279" t="s">
        <v>446</v>
      </c>
      <c r="H6" s="1571"/>
      <c r="I6" s="1571"/>
      <c r="J6" s="1571"/>
      <c r="O6" s="3578" t="s">
        <v>4705</v>
      </c>
      <c r="P6" s="3579"/>
    </row>
    <row r="7" spans="1:16" s="305" customFormat="1" ht="12" customHeight="1">
      <c r="B7" s="1649"/>
      <c r="C7" s="1649"/>
      <c r="D7" s="1649"/>
      <c r="E7" s="1433"/>
      <c r="F7" s="547"/>
      <c r="G7" s="179" t="s">
        <v>3338</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2390</v>
      </c>
      <c r="D9" s="280"/>
      <c r="E9" s="309"/>
      <c r="F9" s="310" t="s">
        <v>3826</v>
      </c>
      <c r="I9" s="1643">
        <f>'Part IV-A-Uses of Funds'!$J$175</f>
        <v>850000</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2055</v>
      </c>
      <c r="F11" s="3580" t="s">
        <v>4552</v>
      </c>
      <c r="G11" s="3581"/>
      <c r="H11" s="3582"/>
      <c r="I11" s="3583" t="s">
        <v>3741</v>
      </c>
      <c r="J11" s="526" t="s">
        <v>3989</v>
      </c>
      <c r="K11" s="316"/>
      <c r="L11" s="1571"/>
      <c r="O11" s="3409" t="s">
        <v>4553</v>
      </c>
      <c r="P11" s="3410"/>
    </row>
    <row r="12" spans="1:16" s="305" customFormat="1" ht="12.75" customHeight="1">
      <c r="A12" s="501"/>
      <c r="B12" s="1648" t="s">
        <v>4520</v>
      </c>
      <c r="C12" s="1648"/>
      <c r="D12" s="1648"/>
      <c r="H12" s="1571"/>
      <c r="J12" s="527" t="s">
        <v>2750</v>
      </c>
      <c r="K12" s="277"/>
      <c r="M12" s="1571"/>
      <c r="O12" s="3584" t="s">
        <v>3012</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3012</v>
      </c>
      <c r="G14" s="1559" t="s">
        <v>3824</v>
      </c>
    </row>
    <row r="15" spans="1:16" s="305" customFormat="1" ht="12.75" customHeight="1">
      <c r="A15" s="501"/>
      <c r="B15" s="305" t="s">
        <v>3899</v>
      </c>
      <c r="D15" s="316"/>
      <c r="F15" s="3527"/>
      <c r="G15" s="3528"/>
      <c r="H15" s="3528"/>
      <c r="I15" s="3528"/>
      <c r="J15" s="3528"/>
      <c r="K15" s="3529"/>
      <c r="L15" s="305" t="s">
        <v>3823</v>
      </c>
      <c r="O15" s="3515"/>
      <c r="P15" s="3545"/>
    </row>
    <row r="16" spans="1:16" s="305" customFormat="1" ht="12.75" customHeight="1">
      <c r="A16" s="501"/>
      <c r="B16" s="305" t="s">
        <v>3825</v>
      </c>
      <c r="F16" s="3586"/>
      <c r="G16" s="305" t="s">
        <v>3882</v>
      </c>
      <c r="H16" s="1571"/>
      <c r="I16" s="179"/>
      <c r="J16" s="527"/>
      <c r="M16" s="3189" t="s">
        <v>2902</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587" t="s">
        <v>4554</v>
      </c>
      <c r="G20" s="3588"/>
      <c r="H20" s="3589"/>
      <c r="I20" s="305" t="s">
        <v>1810</v>
      </c>
      <c r="J20" s="3587" t="s">
        <v>4555</v>
      </c>
      <c r="K20" s="3588"/>
      <c r="L20" s="3589"/>
      <c r="M20" s="340" t="s">
        <v>1995</v>
      </c>
      <c r="N20" s="3515" t="s">
        <v>2489</v>
      </c>
      <c r="O20" s="3544"/>
      <c r="P20" s="3545"/>
    </row>
    <row r="21" spans="1:16" s="305" customFormat="1" ht="13.15" customHeight="1">
      <c r="B21" s="310" t="s">
        <v>1996</v>
      </c>
      <c r="F21" s="3590" t="s">
        <v>4696</v>
      </c>
      <c r="G21" s="3591"/>
      <c r="H21" s="3591"/>
      <c r="I21" s="3592"/>
      <c r="J21" s="3591"/>
      <c r="K21" s="3592"/>
      <c r="L21" s="3593"/>
      <c r="M21" s="1638" t="s">
        <v>3909</v>
      </c>
      <c r="N21" s="1639"/>
      <c r="O21" s="1639"/>
      <c r="P21" s="1639"/>
    </row>
    <row r="22" spans="1:16" s="305" customFormat="1" ht="13.15" customHeight="1">
      <c r="B22" s="310" t="s">
        <v>624</v>
      </c>
      <c r="F22" s="3590" t="s">
        <v>4556</v>
      </c>
      <c r="G22" s="3591"/>
      <c r="H22" s="3594"/>
      <c r="I22" s="310" t="s">
        <v>1812</v>
      </c>
      <c r="J22" s="3595" t="s">
        <v>855</v>
      </c>
      <c r="M22" s="1638"/>
      <c r="N22" s="1638"/>
      <c r="O22" s="1638"/>
      <c r="P22" s="1638"/>
    </row>
    <row r="23" spans="1:16" s="305" customFormat="1" ht="13.15" customHeight="1">
      <c r="B23" s="1559" t="s">
        <v>2244</v>
      </c>
      <c r="F23" s="3596">
        <v>347440000</v>
      </c>
      <c r="G23" s="3597"/>
      <c r="H23" s="3598"/>
      <c r="I23" s="310" t="s">
        <v>1733</v>
      </c>
      <c r="J23" s="3599">
        <v>9046196215</v>
      </c>
      <c r="K23" s="3600"/>
      <c r="L23" s="1561" t="s">
        <v>1732</v>
      </c>
      <c r="M23" s="3443"/>
      <c r="N23" s="1559" t="s">
        <v>1734</v>
      </c>
      <c r="O23" s="3601"/>
      <c r="P23" s="3600"/>
    </row>
    <row r="24" spans="1:16" s="305" customFormat="1" ht="13.15" customHeight="1">
      <c r="B24" s="1559" t="s">
        <v>1999</v>
      </c>
      <c r="F24" s="3602" t="s">
        <v>4557</v>
      </c>
      <c r="G24" s="3603"/>
      <c r="H24" s="3603"/>
      <c r="I24" s="3544"/>
      <c r="J24" s="3603"/>
      <c r="K24" s="3604"/>
      <c r="N24" s="1559" t="s">
        <v>1994</v>
      </c>
      <c r="O24" s="3605"/>
      <c r="P24" s="3606"/>
    </row>
    <row r="25" spans="1:16" s="305" customFormat="1" ht="13.5" customHeight="1">
      <c r="A25" s="501"/>
      <c r="B25" s="307" t="s">
        <v>4538</v>
      </c>
      <c r="C25" s="314"/>
      <c r="D25" s="1570"/>
      <c r="E25" s="1570"/>
      <c r="F25" s="1570"/>
      <c r="H25" s="1571"/>
      <c r="I25" s="1570"/>
      <c r="J25" s="314"/>
      <c r="K25" s="1570"/>
      <c r="P25" s="315"/>
    </row>
    <row r="26" spans="1:16" s="305" customFormat="1" ht="13.15" customHeight="1">
      <c r="B26" s="305" t="s">
        <v>3910</v>
      </c>
      <c r="F26" s="3587" t="s">
        <v>4554</v>
      </c>
      <c r="G26" s="3588"/>
      <c r="H26" s="3589"/>
      <c r="I26" s="305" t="s">
        <v>1810</v>
      </c>
      <c r="J26" s="3587" t="s">
        <v>4558</v>
      </c>
      <c r="K26" s="3588"/>
      <c r="L26" s="3589"/>
      <c r="M26" s="340" t="s">
        <v>1995</v>
      </c>
      <c r="N26" s="3515" t="s">
        <v>4559</v>
      </c>
      <c r="O26" s="3544"/>
      <c r="P26" s="3545"/>
    </row>
    <row r="27" spans="1:16" s="305" customFormat="1" ht="13.15" customHeight="1">
      <c r="B27" s="310" t="s">
        <v>1996</v>
      </c>
      <c r="F27" s="3590" t="s">
        <v>4696</v>
      </c>
      <c r="G27" s="3591"/>
      <c r="H27" s="3591"/>
      <c r="I27" s="3592"/>
      <c r="J27" s="3591"/>
      <c r="K27" s="3592"/>
      <c r="L27" s="3593"/>
      <c r="M27" s="1638" t="s">
        <v>3909</v>
      </c>
      <c r="N27" s="1639"/>
      <c r="O27" s="1639"/>
      <c r="P27" s="1639"/>
    </row>
    <row r="28" spans="1:16" s="305" customFormat="1" ht="13.15" customHeight="1">
      <c r="B28" s="310" t="s">
        <v>624</v>
      </c>
      <c r="F28" s="3590" t="s">
        <v>4556</v>
      </c>
      <c r="G28" s="3591"/>
      <c r="H28" s="3594"/>
      <c r="I28" s="310" t="s">
        <v>1812</v>
      </c>
      <c r="J28" s="3595" t="s">
        <v>855</v>
      </c>
      <c r="M28" s="1638"/>
      <c r="N28" s="1638"/>
      <c r="O28" s="1638"/>
      <c r="P28" s="1638"/>
    </row>
    <row r="29" spans="1:16" s="305" customFormat="1" ht="13.15" customHeight="1">
      <c r="B29" s="1559" t="s">
        <v>2244</v>
      </c>
      <c r="F29" s="3596">
        <v>347440000</v>
      </c>
      <c r="G29" s="3597"/>
      <c r="H29" s="3598"/>
      <c r="I29" s="310" t="s">
        <v>1733</v>
      </c>
      <c r="J29" s="3599">
        <v>9046196215</v>
      </c>
      <c r="K29" s="3600"/>
      <c r="L29" s="1561" t="s">
        <v>1732</v>
      </c>
      <c r="M29" s="3443"/>
      <c r="N29" s="1559" t="s">
        <v>1734</v>
      </c>
      <c r="O29" s="3601"/>
      <c r="P29" s="3600"/>
    </row>
    <row r="30" spans="1:16" s="305" customFormat="1" ht="13.15" customHeight="1">
      <c r="B30" s="1559" t="s">
        <v>1999</v>
      </c>
      <c r="F30" s="3602" t="s">
        <v>4557</v>
      </c>
      <c r="G30" s="3603"/>
      <c r="H30" s="3603"/>
      <c r="I30" s="3544"/>
      <c r="J30" s="3603"/>
      <c r="K30" s="3604"/>
      <c r="N30" s="1559" t="s">
        <v>1994</v>
      </c>
      <c r="O30" s="3605">
        <v>9042347202</v>
      </c>
      <c r="P30" s="360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4560</v>
      </c>
      <c r="G34" s="3608"/>
      <c r="H34" s="3608"/>
      <c r="I34" s="3608"/>
      <c r="J34" s="3608"/>
      <c r="K34" s="3609"/>
      <c r="L34" s="1559" t="s">
        <v>2207</v>
      </c>
      <c r="O34" s="3587" t="s">
        <v>3012</v>
      </c>
      <c r="P34" s="3589"/>
    </row>
    <row r="35" spans="1:16" s="305" customFormat="1" ht="13.15" customHeight="1">
      <c r="A35" s="317"/>
      <c r="B35" s="305" t="s">
        <v>2715</v>
      </c>
      <c r="D35" s="318"/>
      <c r="F35" s="3610" t="s">
        <v>4669</v>
      </c>
      <c r="G35" s="3611"/>
      <c r="H35" s="3611"/>
      <c r="I35" s="3611"/>
      <c r="J35" s="3611"/>
      <c r="K35" s="3612"/>
      <c r="L35" s="305" t="s">
        <v>3707</v>
      </c>
      <c r="O35" s="3613"/>
      <c r="P35" s="3594"/>
    </row>
    <row r="36" spans="1:16" s="305" customFormat="1" ht="13.15" customHeight="1">
      <c r="A36" s="317"/>
      <c r="B36" s="305" t="s">
        <v>2751</v>
      </c>
      <c r="D36" s="318"/>
      <c r="F36" s="3613" t="s">
        <v>4670</v>
      </c>
      <c r="G36" s="3591"/>
      <c r="H36" s="3591"/>
      <c r="I36" s="3592"/>
      <c r="J36" s="3591"/>
      <c r="K36" s="3594"/>
      <c r="L36" s="1559" t="s">
        <v>2065</v>
      </c>
      <c r="N36" s="3443" t="s">
        <v>3012</v>
      </c>
      <c r="O36" s="1571" t="s">
        <v>3706</v>
      </c>
      <c r="P36" s="3428"/>
    </row>
    <row r="37" spans="1:16" s="305" customFormat="1" ht="13.15" customHeight="1">
      <c r="A37" s="317"/>
      <c r="B37" s="305" t="s">
        <v>3763</v>
      </c>
      <c r="D37" s="318"/>
      <c r="F37" s="305" t="s">
        <v>3743</v>
      </c>
      <c r="G37" s="3614">
        <v>31.169074999999999</v>
      </c>
      <c r="H37" s="3615"/>
      <c r="I37" s="1561" t="s">
        <v>3744</v>
      </c>
      <c r="J37" s="3614">
        <v>-83.779539</v>
      </c>
      <c r="K37" s="3615"/>
      <c r="L37" s="1559" t="s">
        <v>2298</v>
      </c>
      <c r="O37" s="3616">
        <v>8.23</v>
      </c>
      <c r="P37" s="3617"/>
    </row>
    <row r="38" spans="1:16" s="305" customFormat="1" ht="13.15" customHeight="1">
      <c r="A38" s="501"/>
      <c r="B38" s="305" t="s">
        <v>624</v>
      </c>
      <c r="F38" s="3587" t="s">
        <v>2110</v>
      </c>
      <c r="G38" s="3618"/>
      <c r="H38" s="3619"/>
      <c r="I38" s="322" t="s">
        <v>2716</v>
      </c>
      <c r="J38" s="3596">
        <v>317686032</v>
      </c>
      <c r="K38" s="3598"/>
      <c r="L38" s="380" t="str">
        <f>IF(AND(NOT(F34=""),NOT(F38="Select from list"),J38=""),"Enter Zip!","")</f>
        <v/>
      </c>
      <c r="M38" s="320" t="s">
        <v>2924</v>
      </c>
      <c r="O38" s="3620" t="s">
        <v>4561</v>
      </c>
      <c r="P38" s="3621"/>
    </row>
    <row r="39" spans="1:16" s="305" customFormat="1" ht="13.15" customHeight="1">
      <c r="A39" s="501"/>
      <c r="B39" s="1570" t="s">
        <v>3591</v>
      </c>
      <c r="D39" s="1570"/>
      <c r="F39" s="3613" t="s">
        <v>4562</v>
      </c>
      <c r="G39" s="3592"/>
      <c r="H39" s="3593"/>
      <c r="I39" s="319" t="s">
        <v>625</v>
      </c>
      <c r="J39" s="3622" t="str">
        <f>IF($F$38="","",VLOOKUP($F$38,'DCA Underwriting Assumptions'!$T$155:$U$785,2,FALSE))</f>
        <v>Colquitt</v>
      </c>
      <c r="K39" s="3623"/>
      <c r="M39" s="1559" t="s">
        <v>455</v>
      </c>
      <c r="N39" s="3624" t="s">
        <v>3009</v>
      </c>
      <c r="O39" s="1571" t="s">
        <v>456</v>
      </c>
      <c r="P39" s="3625" t="s">
        <v>3012</v>
      </c>
    </row>
    <row r="40" spans="1:16" s="305" customFormat="1" ht="13.15" customHeight="1">
      <c r="A40" s="501"/>
      <c r="B40" s="307"/>
      <c r="C40" s="305" t="s">
        <v>1570</v>
      </c>
      <c r="F40" s="3626" t="s">
        <v>3009</v>
      </c>
      <c r="G40" s="1634" t="s">
        <v>2798</v>
      </c>
      <c r="H40" s="1635"/>
      <c r="I40" s="533" t="str">
        <f>IF($J$39="","",IF(VLOOKUP($J$39,'DCA Underwriting Assumptions'!G155:M314,7,FALSE)="Rural","Yes",IF(VLOOKUP($J$39,'DCA Underwriting Assumptions'!G155:M314,7,FALSE)="Urban","No","")))</f>
        <v>Yes</v>
      </c>
      <c r="J40" s="1561" t="s">
        <v>2818</v>
      </c>
      <c r="K40" s="1561" t="str">
        <f>IF(OR(F40="Yes",I40="Yes"),"Rural","Urban")</f>
        <v>Rural</v>
      </c>
      <c r="M40" s="1559" t="s">
        <v>2627</v>
      </c>
      <c r="N40" s="436" t="str">
        <f>VLOOKUP($J$39,'DCA Underwriting Assumptions'!$G$155:$J$314,4)</f>
        <v>Non-MSA</v>
      </c>
      <c r="O40" s="3627" t="str">
        <f>IF($F$38="","",VLOOKUP($J$39,'DCA Underwriting Assumptions'!$G$155:$L$314,3,FALSE))</f>
        <v>Colquitt Co.</v>
      </c>
      <c r="P40" s="3628"/>
    </row>
    <row r="41" spans="1:16" s="305" customFormat="1" ht="6" customHeight="1">
      <c r="A41" s="501"/>
      <c r="B41" s="307"/>
      <c r="C41" s="307"/>
      <c r="I41" s="310"/>
      <c r="J41" s="1570"/>
      <c r="L41" s="1580"/>
      <c r="M41" s="1580"/>
      <c r="N41" s="1580"/>
      <c r="O41" s="1580"/>
      <c r="P41" s="1580"/>
    </row>
    <row r="42" spans="1:16" s="305" customFormat="1" ht="13.15" customHeight="1">
      <c r="A42" s="501"/>
      <c r="C42" s="305" t="s">
        <v>2760</v>
      </c>
      <c r="F42" s="1636" t="s">
        <v>2779</v>
      </c>
      <c r="G42" s="1636"/>
      <c r="H42" s="1637" t="s">
        <v>744</v>
      </c>
      <c r="I42" s="1637"/>
      <c r="J42" s="1637" t="s">
        <v>745</v>
      </c>
      <c r="K42" s="1637"/>
      <c r="L42" s="520" t="s">
        <v>2717</v>
      </c>
    </row>
    <row r="43" spans="1:16" s="305" customFormat="1" ht="13.15" customHeight="1">
      <c r="A43" s="501"/>
      <c r="B43" s="305" t="s">
        <v>2778</v>
      </c>
      <c r="D43" s="307"/>
      <c r="F43" s="3629">
        <v>8</v>
      </c>
      <c r="G43" s="3630"/>
      <c r="H43" s="3629">
        <v>11</v>
      </c>
      <c r="I43" s="3630"/>
      <c r="J43" s="3629">
        <v>172</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2777</v>
      </c>
      <c r="N44" s="1633" t="s">
        <v>2776</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3" t="s">
        <v>4563</v>
      </c>
      <c r="G46" s="3634"/>
      <c r="H46" s="3634"/>
      <c r="I46" s="3635"/>
      <c r="J46" s="3634"/>
      <c r="K46" s="3636"/>
      <c r="L46" s="930" t="s">
        <v>2721</v>
      </c>
      <c r="M46" s="3515" t="s">
        <v>4564</v>
      </c>
      <c r="N46" s="3544"/>
      <c r="O46" s="3544"/>
      <c r="P46" s="3545"/>
    </row>
    <row r="47" spans="1:16" s="305" customFormat="1" ht="13.15" customHeight="1">
      <c r="A47" s="501"/>
      <c r="B47" s="305" t="s">
        <v>644</v>
      </c>
      <c r="F47" s="3637" t="s">
        <v>4565</v>
      </c>
      <c r="G47" s="3638"/>
      <c r="H47" s="3639"/>
      <c r="I47" s="1562" t="s">
        <v>1995</v>
      </c>
      <c r="J47" s="3610" t="s">
        <v>4566</v>
      </c>
      <c r="K47" s="3612"/>
      <c r="L47" s="930"/>
    </row>
    <row r="48" spans="1:16" s="305" customFormat="1" ht="13.15" customHeight="1">
      <c r="A48" s="501"/>
      <c r="B48" s="305" t="s">
        <v>1996</v>
      </c>
      <c r="F48" s="3640" t="s">
        <v>4662</v>
      </c>
      <c r="G48" s="3641"/>
      <c r="H48" s="3642"/>
      <c r="I48" s="3634"/>
      <c r="J48" s="3641"/>
      <c r="K48" s="3643"/>
      <c r="L48" s="341" t="s">
        <v>624</v>
      </c>
      <c r="M48" s="3644" t="s">
        <v>2110</v>
      </c>
      <c r="N48" s="3645"/>
      <c r="O48" s="3645"/>
      <c r="P48" s="3646"/>
    </row>
    <row r="49" spans="1:19" s="305" customFormat="1" ht="13.15" customHeight="1">
      <c r="A49" s="501"/>
      <c r="B49" s="1559" t="s">
        <v>2244</v>
      </c>
      <c r="F49" s="3647">
        <v>317760000</v>
      </c>
      <c r="G49" s="3648"/>
      <c r="H49" s="1561" t="s">
        <v>1997</v>
      </c>
      <c r="I49" s="3649">
        <v>2299855881</v>
      </c>
      <c r="J49" s="3650"/>
      <c r="K49" s="3651"/>
      <c r="L49" s="310" t="s">
        <v>1813</v>
      </c>
      <c r="M49" s="3652" t="s">
        <v>4594</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1998</v>
      </c>
      <c r="C54" s="307" t="s">
        <v>725</v>
      </c>
      <c r="I54" s="1570"/>
      <c r="J54" s="1570"/>
      <c r="K54" s="517"/>
      <c r="L54" s="1570"/>
      <c r="M54" s="519"/>
      <c r="N54" s="519"/>
      <c r="O54" s="519"/>
      <c r="P54" s="519"/>
      <c r="Q54" s="1571"/>
    </row>
    <row r="55" spans="1:19" ht="13.15" customHeight="1">
      <c r="B55" s="501"/>
      <c r="C55" s="305" t="s">
        <v>2310</v>
      </c>
      <c r="D55" s="305"/>
      <c r="E55" s="305"/>
      <c r="H55" s="1170">
        <f>'Part VI-Revenues &amp; Expenses'!$O$74</f>
        <v>50</v>
      </c>
      <c r="K55" s="310" t="s">
        <v>3698</v>
      </c>
      <c r="L55" s="305"/>
      <c r="M55" s="991" t="s">
        <v>3697</v>
      </c>
      <c r="N55" s="325">
        <f>'Part VI-Revenues &amp; Expenses'!$O$81</f>
        <v>0</v>
      </c>
      <c r="O55" s="992" t="s">
        <v>3377</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2929</v>
      </c>
      <c r="K57" s="305" t="s">
        <v>350</v>
      </c>
      <c r="P57" s="3655"/>
      <c r="Q57" s="1571"/>
    </row>
    <row r="58" spans="1:19" s="305" customFormat="1" ht="3.6" customHeight="1">
      <c r="A58" s="501"/>
      <c r="P58" s="1570"/>
    </row>
    <row r="59" spans="1:19" s="305" customFormat="1">
      <c r="A59" s="501"/>
      <c r="B59" s="501" t="s">
        <v>2000</v>
      </c>
      <c r="C59" s="307" t="s">
        <v>2311</v>
      </c>
      <c r="H59" s="3656" t="s">
        <v>3012</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2291</v>
      </c>
      <c r="D61" s="1570"/>
      <c r="I61" s="1572" t="s">
        <v>3587</v>
      </c>
      <c r="J61" s="317" t="s">
        <v>2130</v>
      </c>
      <c r="K61" s="327" t="s">
        <v>2317</v>
      </c>
      <c r="M61" s="1570"/>
      <c r="N61" s="1570"/>
      <c r="O61" s="1570"/>
      <c r="P61" s="1571"/>
      <c r="Q61" s="1571"/>
      <c r="R61" s="1571"/>
      <c r="S61" s="1570"/>
    </row>
    <row r="62" spans="1:19" s="305" customFormat="1" ht="13.15" customHeight="1">
      <c r="A62" s="501"/>
      <c r="B62" s="1560"/>
      <c r="C62" s="314" t="s">
        <v>2292</v>
      </c>
      <c r="D62" s="1570"/>
      <c r="E62" s="1570"/>
      <c r="H62" s="679">
        <f>SUM(H63:H64)</f>
        <v>50</v>
      </c>
      <c r="I62" s="679">
        <f>SUM(I63:I64)</f>
        <v>0</v>
      </c>
      <c r="J62" s="501"/>
      <c r="K62" s="314" t="s">
        <v>2790</v>
      </c>
      <c r="M62" s="1570"/>
      <c r="N62" s="1570"/>
      <c r="O62" s="1570"/>
      <c r="P62" s="897">
        <f>'Part VI-Revenues &amp; Expenses'!$O$115</f>
        <v>54700</v>
      </c>
    </row>
    <row r="63" spans="1:19" s="305" customFormat="1" ht="13.15" customHeight="1">
      <c r="A63" s="501"/>
      <c r="B63" s="324"/>
      <c r="D63" s="329" t="s">
        <v>387</v>
      </c>
      <c r="E63" s="1570"/>
      <c r="H63" s="897">
        <f>'Part VI-Revenues &amp; Expenses'!$O$57</f>
        <v>10</v>
      </c>
      <c r="I63" s="897">
        <f>'Part VI-Revenues &amp; Expenses'!$O$65</f>
        <v>0</v>
      </c>
      <c r="K63" s="314" t="s">
        <v>2791</v>
      </c>
      <c r="M63" s="1570"/>
      <c r="N63" s="1570"/>
      <c r="O63" s="1570"/>
      <c r="P63" s="1173">
        <f>'Part VI-Revenues &amp; Expenses'!$O$116</f>
        <v>0</v>
      </c>
    </row>
    <row r="64" spans="1:19" s="305" customFormat="1" ht="13.15" customHeight="1">
      <c r="A64" s="501"/>
      <c r="D64" s="329" t="s">
        <v>1834</v>
      </c>
      <c r="E64" s="329"/>
      <c r="H64" s="898">
        <f>'Part VI-Revenues &amp; Expenses'!$O$56</f>
        <v>40</v>
      </c>
      <c r="I64" s="898">
        <f>'Part VI-Revenues &amp; Expenses'!$O$64</f>
        <v>0</v>
      </c>
      <c r="K64" s="314" t="s">
        <v>2792</v>
      </c>
      <c r="M64" s="1570"/>
      <c r="N64" s="1570"/>
      <c r="O64" s="1570"/>
      <c r="P64" s="897">
        <f>P62+P63</f>
        <v>54700</v>
      </c>
    </row>
    <row r="65" spans="1:16" s="305" customFormat="1" ht="13.15" customHeight="1">
      <c r="A65" s="501"/>
      <c r="C65" s="314" t="s">
        <v>255</v>
      </c>
      <c r="D65" s="1570"/>
      <c r="E65" s="1570"/>
      <c r="H65" s="328">
        <f>'Part VI-Revenues &amp; Expenses'!$O$59</f>
        <v>0</v>
      </c>
      <c r="J65" s="501"/>
      <c r="K65" s="314" t="s">
        <v>2793</v>
      </c>
      <c r="M65" s="1570"/>
      <c r="N65" s="1570"/>
      <c r="O65" s="1570"/>
      <c r="P65" s="898">
        <f>'Part VI-Revenues &amp; Expenses'!$O$118</f>
        <v>0</v>
      </c>
    </row>
    <row r="66" spans="1:16" s="305" customFormat="1" ht="13.15" customHeight="1">
      <c r="A66" s="501"/>
      <c r="C66" s="314" t="s">
        <v>2422</v>
      </c>
      <c r="D66" s="1570"/>
      <c r="E66" s="1570"/>
      <c r="H66" s="897">
        <f>H62+H65</f>
        <v>50</v>
      </c>
      <c r="J66" s="501"/>
      <c r="K66" s="314" t="s">
        <v>1432</v>
      </c>
      <c r="M66" s="1570"/>
      <c r="N66" s="1570"/>
      <c r="O66" s="1570"/>
      <c r="P66" s="328">
        <f>+P64+P65</f>
        <v>54700</v>
      </c>
    </row>
    <row r="67" spans="1:16" s="305" customFormat="1" ht="13.15" customHeight="1">
      <c r="A67" s="501"/>
      <c r="C67" s="314" t="s">
        <v>2423</v>
      </c>
      <c r="D67" s="1570"/>
      <c r="E67" s="1570"/>
      <c r="H67" s="898">
        <f>'Part VI-Revenues &amp; Expenses'!$O$61</f>
        <v>0</v>
      </c>
      <c r="J67" s="501"/>
    </row>
    <row r="68" spans="1:16" s="305" customFormat="1" ht="13.15" customHeight="1">
      <c r="A68" s="501"/>
      <c r="C68" s="314" t="s">
        <v>1806</v>
      </c>
      <c r="D68" s="1570"/>
      <c r="E68" s="1570"/>
      <c r="H68" s="328">
        <f>+H66+H67</f>
        <v>50</v>
      </c>
      <c r="J68" s="1570"/>
    </row>
    <row r="69" spans="1:16" s="305" customFormat="1" ht="3" customHeight="1">
      <c r="A69" s="501"/>
      <c r="I69" s="1571"/>
      <c r="L69" s="1571"/>
      <c r="M69" s="1571"/>
      <c r="N69" s="1570"/>
      <c r="P69" s="315"/>
    </row>
    <row r="70" spans="1:16" s="305" customFormat="1" ht="13.15" customHeight="1">
      <c r="A70" s="501"/>
      <c r="B70" s="501" t="s">
        <v>1748</v>
      </c>
      <c r="C70" s="316" t="s">
        <v>2312</v>
      </c>
      <c r="D70" s="329" t="s">
        <v>2011</v>
      </c>
      <c r="G70" s="1570"/>
      <c r="H70" s="3657">
        <v>7</v>
      </c>
      <c r="K70" s="314" t="s">
        <v>4100</v>
      </c>
      <c r="O70" s="1570"/>
      <c r="P70" s="3658">
        <v>2000</v>
      </c>
    </row>
    <row r="71" spans="1:16" s="305" customFormat="1" ht="13.15" customHeight="1">
      <c r="A71" s="501"/>
      <c r="B71" s="501"/>
      <c r="D71" s="1560" t="s">
        <v>2012</v>
      </c>
      <c r="H71" s="3659">
        <v>1</v>
      </c>
      <c r="I71" s="1570"/>
      <c r="K71" s="314" t="s">
        <v>254</v>
      </c>
      <c r="O71" s="1570"/>
      <c r="P71" s="328">
        <f>+P66+P70</f>
        <v>56700</v>
      </c>
    </row>
    <row r="72" spans="1:16" s="305" customFormat="1" ht="13.15" customHeight="1">
      <c r="A72" s="501"/>
      <c r="B72" s="501"/>
      <c r="D72" s="1560" t="s">
        <v>2013</v>
      </c>
      <c r="H72" s="328">
        <f>+H70+H71</f>
        <v>8</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2859</v>
      </c>
      <c r="D74" s="1570"/>
      <c r="E74" s="1570"/>
      <c r="F74" s="1570"/>
      <c r="G74" s="1570"/>
      <c r="H74" s="3658">
        <v>100</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1998</v>
      </c>
      <c r="C78" s="277" t="s">
        <v>2708</v>
      </c>
      <c r="D78" s="1563"/>
      <c r="E78" s="1563"/>
      <c r="F78" s="1570"/>
      <c r="G78" s="1571"/>
      <c r="H78" s="3660" t="s">
        <v>2930</v>
      </c>
      <c r="I78" s="3661"/>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3904</v>
      </c>
      <c r="I80" s="1630"/>
      <c r="K80" s="331" t="s">
        <v>2930</v>
      </c>
      <c r="L80" s="3657">
        <v>50</v>
      </c>
      <c r="M80" s="331" t="s">
        <v>2931</v>
      </c>
      <c r="N80" s="3657"/>
      <c r="P80" s="318" t="s">
        <v>3906</v>
      </c>
    </row>
    <row r="81" spans="1:16" s="305" customFormat="1" ht="13.15" customHeight="1">
      <c r="A81" s="501"/>
      <c r="B81" s="501"/>
      <c r="D81" s="1559"/>
      <c r="E81" s="1563"/>
      <c r="H81" s="1630"/>
      <c r="I81" s="1630"/>
      <c r="K81" s="318" t="s">
        <v>2932</v>
      </c>
      <c r="L81" s="3659"/>
      <c r="M81" s="318" t="s">
        <v>3905</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2000</v>
      </c>
      <c r="C83" s="316" t="s">
        <v>1423</v>
      </c>
      <c r="D83" s="1570"/>
      <c r="E83" s="329"/>
      <c r="F83" s="1560" t="s">
        <v>804</v>
      </c>
      <c r="H83" s="328">
        <f>'Part VIII-Threshold Criteria'!K301</f>
        <v>3</v>
      </c>
      <c r="K83" s="1620" t="s">
        <v>525</v>
      </c>
      <c r="L83" s="1620"/>
      <c r="N83" s="332">
        <f>IF('Part VI-Revenues &amp; Expenses'!$O$62=0,0,H83/'Part VI-Revenues &amp; Expenses'!$O$62)</f>
        <v>0.06</v>
      </c>
      <c r="O83" s="318" t="s">
        <v>3721</v>
      </c>
      <c r="P83" s="1002">
        <f>'DCA Underwriting Assumptions'!$Q$136</f>
        <v>0.05</v>
      </c>
    </row>
    <row r="84" spans="1:16" s="305" customFormat="1" ht="12.75" customHeight="1">
      <c r="A84" s="501"/>
      <c r="B84" s="501"/>
      <c r="D84" s="1560" t="s">
        <v>2857</v>
      </c>
      <c r="E84" s="1560"/>
      <c r="F84" s="1560" t="s">
        <v>804</v>
      </c>
      <c r="H84" s="328">
        <f>'Part VIII-Threshold Criteria'!K303</f>
        <v>2</v>
      </c>
      <c r="K84" s="1570" t="s">
        <v>2858</v>
      </c>
      <c r="L84" s="1570"/>
      <c r="N84" s="332">
        <f>IF(H83=0,0,H84/H83)</f>
        <v>0.66666666666666663</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1857</v>
      </c>
      <c r="D86" s="329"/>
      <c r="E86" s="329"/>
      <c r="F86" s="1560" t="s">
        <v>804</v>
      </c>
      <c r="H86" s="328">
        <f>'Part VIII-Threshold Criteria'!K305</f>
        <v>1</v>
      </c>
      <c r="K86" s="1620" t="s">
        <v>525</v>
      </c>
      <c r="L86" s="1620"/>
      <c r="N86" s="332">
        <f>IF('Part VI-Revenues &amp; Expenses'!$O$62=0,0,H86/'Part VI-Revenues &amp; Expenses'!$O$62)</f>
        <v>0.02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2392</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1998</v>
      </c>
      <c r="C90" s="277" t="s">
        <v>2391</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2000</v>
      </c>
      <c r="C92" s="307" t="s">
        <v>1546</v>
      </c>
      <c r="K92" s="310" t="s">
        <v>877</v>
      </c>
      <c r="N92" s="334"/>
      <c r="P92" s="365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2056</v>
      </c>
      <c r="D94" s="1560"/>
    </row>
    <row r="95" spans="1:16" s="305" customFormat="1" ht="3" customHeight="1">
      <c r="A95" s="501"/>
      <c r="B95" s="501"/>
      <c r="D95" s="1560"/>
      <c r="N95" s="1570"/>
      <c r="P95" s="315"/>
    </row>
    <row r="96" spans="1:16" s="305" customFormat="1" ht="13.15" customHeight="1">
      <c r="A96" s="333"/>
      <c r="B96" s="501" t="s">
        <v>1998</v>
      </c>
      <c r="C96" s="307" t="s">
        <v>2725</v>
      </c>
      <c r="F96" s="329" t="s">
        <v>2616</v>
      </c>
      <c r="H96" s="3656" t="s">
        <v>3012</v>
      </c>
      <c r="K96" s="329" t="s">
        <v>3928</v>
      </c>
      <c r="L96" s="3656" t="s">
        <v>3012</v>
      </c>
      <c r="O96" s="312" t="s">
        <v>3922</v>
      </c>
      <c r="P96" s="3656" t="s">
        <v>3012</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2000</v>
      </c>
      <c r="C98" s="307" t="s">
        <v>2726</v>
      </c>
      <c r="F98" s="1559" t="s">
        <v>2695</v>
      </c>
      <c r="H98" s="3656" t="s">
        <v>3012</v>
      </c>
      <c r="I98" s="496" t="s">
        <v>2727</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2800</v>
      </c>
      <c r="D100" s="1560"/>
      <c r="H100" s="3515" t="s">
        <v>2615</v>
      </c>
      <c r="I100" s="354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15" customHeight="1">
      <c r="C105" s="310" t="s">
        <v>1031</v>
      </c>
      <c r="D105" s="318"/>
      <c r="E105" s="3590"/>
      <c r="F105" s="3591"/>
      <c r="G105" s="3591"/>
      <c r="H105" s="3592"/>
      <c r="I105" s="3591"/>
      <c r="J105" s="3592"/>
      <c r="K105" s="3591"/>
      <c r="L105" s="3594"/>
      <c r="M105" s="1629" t="s">
        <v>816</v>
      </c>
      <c r="N105" s="1629"/>
      <c r="O105" s="3668"/>
      <c r="P105" s="3669"/>
    </row>
    <row r="106" spans="1:16" s="305" customFormat="1" ht="13.15" customHeight="1">
      <c r="C106" s="310" t="s">
        <v>624</v>
      </c>
      <c r="E106" s="3610"/>
      <c r="F106" s="3670"/>
      <c r="G106" s="3671"/>
      <c r="H106" s="1561" t="s">
        <v>1812</v>
      </c>
      <c r="I106" s="3672"/>
      <c r="J106" s="335" t="s">
        <v>2244</v>
      </c>
      <c r="K106" s="3673"/>
      <c r="L106" s="3674"/>
      <c r="M106" s="280" t="s">
        <v>3688</v>
      </c>
      <c r="N106" s="280"/>
      <c r="O106" s="3675"/>
      <c r="P106" s="3676"/>
    </row>
    <row r="107" spans="1:16" s="305" customFormat="1" ht="13.15" customHeight="1">
      <c r="C107" s="305" t="s">
        <v>2209</v>
      </c>
      <c r="E107" s="3610"/>
      <c r="F107" s="3670"/>
      <c r="G107" s="3671"/>
      <c r="H107" s="1039" t="s">
        <v>1995</v>
      </c>
      <c r="I107" s="3677"/>
      <c r="J107" s="3678"/>
      <c r="K107" s="3534"/>
      <c r="L107" s="1581" t="s">
        <v>1999</v>
      </c>
      <c r="M107" s="3587"/>
      <c r="N107" s="3679"/>
      <c r="O107" s="3680"/>
      <c r="P107" s="3681"/>
    </row>
    <row r="108" spans="1:16" s="305" customFormat="1" ht="13.15" customHeight="1">
      <c r="C108" s="310" t="s">
        <v>2208</v>
      </c>
      <c r="E108" s="3605"/>
      <c r="F108" s="3682"/>
      <c r="G108" s="3606"/>
      <c r="H108" s="1039" t="s">
        <v>1815</v>
      </c>
      <c r="I108" s="3605"/>
      <c r="J108" s="3683"/>
      <c r="K108" s="1561" t="s">
        <v>2721</v>
      </c>
      <c r="L108" s="3527"/>
      <c r="M108" s="3684"/>
      <c r="N108" s="3684"/>
      <c r="O108" s="3684"/>
      <c r="P108" s="368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1998</v>
      </c>
      <c r="C114" s="1563" t="s">
        <v>1424</v>
      </c>
      <c r="D114" s="1560"/>
      <c r="E114" s="1560"/>
      <c r="F114" s="1571"/>
      <c r="G114" s="1571"/>
      <c r="H114" s="3686">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2000</v>
      </c>
      <c r="C116" s="1563" t="s">
        <v>418</v>
      </c>
      <c r="D116" s="1560"/>
      <c r="E116" s="1560"/>
      <c r="F116" s="1571"/>
      <c r="G116" s="1571"/>
      <c r="H116" s="3687">
        <v>850000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2150</v>
      </c>
      <c r="D119" s="1560"/>
      <c r="F119" s="1560" t="s">
        <v>1144</v>
      </c>
      <c r="G119" s="1571"/>
      <c r="H119" s="1571"/>
      <c r="I119" s="1571" t="s">
        <v>1306</v>
      </c>
      <c r="J119" s="1560" t="s">
        <v>2150</v>
      </c>
      <c r="K119" s="1560"/>
      <c r="M119" s="1560" t="s">
        <v>1144</v>
      </c>
      <c r="N119" s="1571"/>
      <c r="O119" s="1571"/>
      <c r="P119" s="1571" t="s">
        <v>1306</v>
      </c>
    </row>
    <row r="120" spans="1:16" s="305" customFormat="1" ht="13.15" customHeight="1">
      <c r="A120" s="501"/>
      <c r="B120" s="501"/>
      <c r="C120" s="3688" t="s">
        <v>4555</v>
      </c>
      <c r="D120" s="3689"/>
      <c r="E120" s="3689"/>
      <c r="F120" s="3690" t="s">
        <v>4560</v>
      </c>
      <c r="G120" s="3445"/>
      <c r="H120" s="3691"/>
      <c r="I120" s="3692" t="s">
        <v>4567</v>
      </c>
      <c r="J120" s="3688">
        <v>7</v>
      </c>
      <c r="K120" s="3689"/>
      <c r="L120" s="3689"/>
      <c r="M120" s="3690"/>
      <c r="N120" s="3445"/>
      <c r="O120" s="3691"/>
      <c r="P120" s="3692"/>
    </row>
    <row r="121" spans="1:16" s="305" customFormat="1" ht="13.15" customHeight="1">
      <c r="A121" s="501"/>
      <c r="B121" s="501"/>
      <c r="C121" s="3693">
        <v>2</v>
      </c>
      <c r="D121" s="3694"/>
      <c r="E121" s="3694"/>
      <c r="F121" s="3695"/>
      <c r="G121" s="3696"/>
      <c r="H121" s="3697"/>
      <c r="I121" s="3698"/>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2130</v>
      </c>
      <c r="C127" s="1628" t="s">
        <v>1860</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2150</v>
      </c>
      <c r="D129" s="1560"/>
      <c r="F129" s="1560" t="s">
        <v>1144</v>
      </c>
      <c r="G129" s="1571"/>
      <c r="H129" s="1571"/>
      <c r="I129" s="1571"/>
      <c r="J129" s="1560" t="s">
        <v>2150</v>
      </c>
      <c r="K129" s="1560"/>
      <c r="M129" s="1560" t="s">
        <v>1144</v>
      </c>
      <c r="N129" s="1571"/>
      <c r="O129" s="1571"/>
      <c r="P129" s="1571"/>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2433</v>
      </c>
      <c r="D138" s="330"/>
      <c r="E138" s="330"/>
      <c r="F138" s="330"/>
      <c r="I138" s="3656" t="s">
        <v>3012</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1998</v>
      </c>
      <c r="C140" s="311" t="s">
        <v>1726</v>
      </c>
      <c r="I140" s="3425" t="s">
        <v>3012</v>
      </c>
      <c r="M140" s="1571"/>
      <c r="N140" s="1570"/>
      <c r="O140" s="1570"/>
      <c r="P140" s="315"/>
    </row>
    <row r="141" spans="1:16" s="305" customFormat="1" ht="13.15" customHeight="1">
      <c r="A141" s="501"/>
      <c r="B141" s="501"/>
      <c r="C141" s="1560" t="s">
        <v>2435</v>
      </c>
      <c r="D141" s="1560"/>
      <c r="E141" s="1560"/>
      <c r="F141" s="1571"/>
      <c r="I141" s="3707"/>
      <c r="N141" s="1570"/>
      <c r="O141" s="1570"/>
      <c r="P141" s="315"/>
    </row>
    <row r="142" spans="1:16" s="305" customFormat="1" ht="13.15" customHeight="1">
      <c r="A142" s="501"/>
      <c r="B142" s="501"/>
      <c r="C142" s="338" t="s">
        <v>1725</v>
      </c>
      <c r="D142" s="310"/>
      <c r="I142" s="3428"/>
      <c r="P142" s="315"/>
    </row>
    <row r="143" spans="1:16" s="305" customFormat="1" ht="13.15" customHeight="1">
      <c r="A143" s="501"/>
      <c r="B143" s="501"/>
      <c r="C143" s="1560" t="s">
        <v>2436</v>
      </c>
      <c r="D143" s="1560"/>
      <c r="E143" s="1560"/>
      <c r="F143" s="1571"/>
      <c r="I143" s="3707"/>
      <c r="K143" s="280" t="s">
        <v>2260</v>
      </c>
      <c r="O143" s="3587" t="s">
        <v>489</v>
      </c>
      <c r="P143" s="3589"/>
    </row>
    <row r="144" spans="1:16" s="305" customFormat="1" ht="13.15" customHeight="1">
      <c r="A144" s="501"/>
      <c r="B144" s="501"/>
      <c r="C144" s="1560" t="s">
        <v>2434</v>
      </c>
      <c r="F144" s="1571"/>
      <c r="I144" s="3708"/>
      <c r="K144" s="280" t="s">
        <v>2261</v>
      </c>
      <c r="O144" s="3613" t="s">
        <v>489</v>
      </c>
      <c r="P144" s="3593"/>
    </row>
    <row r="145" spans="1:16" s="305" customFormat="1" ht="13.15" customHeight="1">
      <c r="A145" s="501"/>
      <c r="B145" s="501"/>
      <c r="C145" s="1560" t="s">
        <v>2181</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2000</v>
      </c>
      <c r="C147" s="1563" t="s">
        <v>2505</v>
      </c>
      <c r="D147" s="1560"/>
      <c r="E147" s="1560"/>
      <c r="F147" s="1571"/>
      <c r="I147" s="3686" t="s">
        <v>3012</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2718</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6" t="s">
        <v>3012</v>
      </c>
      <c r="K150" s="1560" t="s">
        <v>1547</v>
      </c>
      <c r="L150" s="1560"/>
      <c r="M150" s="1571"/>
      <c r="N150" s="1571"/>
      <c r="O150" s="3686" t="s">
        <v>3012</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1998</v>
      </c>
      <c r="C154" s="321" t="s">
        <v>1835</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3012</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3753</v>
      </c>
      <c r="H157" s="3658"/>
      <c r="I157" s="179"/>
      <c r="J157" s="901" t="s">
        <v>3752</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2244</v>
      </c>
      <c r="J160" s="3596"/>
      <c r="K160" s="3598"/>
      <c r="L160" s="341" t="s">
        <v>1994</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8"/>
      <c r="M161" s="3684"/>
      <c r="N161" s="3684"/>
      <c r="O161" s="3684"/>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2000</v>
      </c>
      <c r="C163" s="1563" t="s">
        <v>2719</v>
      </c>
      <c r="D163" s="1563"/>
      <c r="E163" s="1563"/>
      <c r="F163" s="1563"/>
      <c r="G163" s="1563"/>
      <c r="I163" s="3686" t="s">
        <v>3012</v>
      </c>
      <c r="J163" s="1621" t="s">
        <v>769</v>
      </c>
      <c r="K163" s="1622"/>
      <c r="L163" s="3686"/>
      <c r="M163" s="1623" t="s">
        <v>2341</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2720</v>
      </c>
      <c r="D165" s="1563"/>
      <c r="E165" s="1563"/>
      <c r="F165" s="1563"/>
      <c r="G165" s="1563"/>
      <c r="I165" s="3686" t="s">
        <v>3009</v>
      </c>
      <c r="J165" s="1621" t="s">
        <v>769</v>
      </c>
      <c r="K165" s="1622"/>
      <c r="L165" s="3686">
        <v>2040</v>
      </c>
      <c r="M165" s="1623" t="s">
        <v>2341</v>
      </c>
      <c r="N165" s="1624"/>
      <c r="O165" s="1625"/>
      <c r="P165" s="372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3012</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2130</v>
      </c>
      <c r="C169" s="1626" t="s">
        <v>1993</v>
      </c>
      <c r="D169" s="1626"/>
      <c r="E169" s="1626"/>
      <c r="F169" s="1626"/>
      <c r="G169" s="1563"/>
      <c r="I169" s="3686" t="s">
        <v>3012</v>
      </c>
      <c r="J169" s="345" t="s">
        <v>2770</v>
      </c>
      <c r="L169" s="1627" t="s">
        <v>3728</v>
      </c>
      <c r="M169" s="1627"/>
      <c r="N169" s="1563"/>
      <c r="O169" s="1563"/>
      <c r="P169" s="3657"/>
    </row>
    <row r="170" spans="1:16" s="305" customFormat="1" ht="12.6" customHeight="1">
      <c r="B170" s="501"/>
      <c r="L170" s="1620" t="s">
        <v>805</v>
      </c>
      <c r="M170" s="1620"/>
      <c r="N170" s="1563"/>
      <c r="O170" s="1563"/>
      <c r="P170" s="365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2227</v>
      </c>
      <c r="D173" s="316"/>
      <c r="E173" s="1570"/>
      <c r="F173" s="1570"/>
      <c r="I173" s="3711" t="s">
        <v>3012</v>
      </c>
      <c r="L173" s="1570" t="s">
        <v>1622</v>
      </c>
      <c r="M173" s="1570"/>
      <c r="N173" s="1570"/>
      <c r="P173" s="3711" t="s">
        <v>3009</v>
      </c>
    </row>
    <row r="174" spans="1:16" s="305" customFormat="1" ht="12.6" customHeight="1">
      <c r="A174" s="501"/>
      <c r="B174" s="501"/>
      <c r="C174" s="1570" t="s">
        <v>2228</v>
      </c>
      <c r="I174" s="3708" t="s">
        <v>3012</v>
      </c>
      <c r="L174" s="1570" t="s">
        <v>2862</v>
      </c>
      <c r="M174" s="1570"/>
      <c r="N174" s="1570"/>
      <c r="P174" s="3708" t="s">
        <v>3012</v>
      </c>
    </row>
    <row r="175" spans="1:16" s="305" customFormat="1" ht="12.6" customHeight="1">
      <c r="A175" s="501"/>
      <c r="C175" s="1570" t="s">
        <v>2739</v>
      </c>
      <c r="I175" s="3708" t="s">
        <v>3012</v>
      </c>
      <c r="L175" s="1570" t="s">
        <v>2706</v>
      </c>
      <c r="N175" s="3721"/>
      <c r="O175" s="3722"/>
      <c r="P175" s="3708"/>
    </row>
    <row r="176" spans="1:16" s="305" customFormat="1" ht="12.6" customHeight="1">
      <c r="A176" s="501"/>
      <c r="B176" s="501"/>
      <c r="C176" s="1570" t="s">
        <v>1297</v>
      </c>
      <c r="D176" s="346"/>
      <c r="I176" s="3708" t="s">
        <v>3012</v>
      </c>
      <c r="K176" s="316"/>
      <c r="L176" s="1570" t="s">
        <v>3504</v>
      </c>
      <c r="M176" s="1570"/>
      <c r="N176" s="1570"/>
      <c r="P176" s="3708" t="s">
        <v>3012</v>
      </c>
    </row>
    <row r="177" spans="1:21" s="305" customFormat="1" ht="12.6" customHeight="1">
      <c r="A177" s="501"/>
      <c r="B177" s="307"/>
      <c r="C177" s="1570" t="s">
        <v>1820</v>
      </c>
      <c r="I177" s="3708" t="s">
        <v>3012</v>
      </c>
      <c r="J177" s="345" t="s">
        <v>2771</v>
      </c>
      <c r="O177" s="3723"/>
      <c r="P177" s="3724"/>
    </row>
    <row r="178" spans="1:21" s="305" customFormat="1" ht="12.6" customHeight="1">
      <c r="A178" s="501"/>
      <c r="B178" s="501"/>
      <c r="C178" s="1570" t="s">
        <v>2920</v>
      </c>
      <c r="I178" s="3725" t="s">
        <v>3012</v>
      </c>
      <c r="J178" s="345" t="s">
        <v>2771</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6"/>
      <c r="I181" s="3667"/>
      <c r="N181" s="1570"/>
      <c r="O181" s="1570"/>
      <c r="P181" s="315"/>
    </row>
    <row r="182" spans="1:21" s="305" customFormat="1" ht="12.6" customHeight="1">
      <c r="A182" s="501"/>
      <c r="B182" s="501"/>
      <c r="C182" s="310" t="s">
        <v>278</v>
      </c>
      <c r="D182" s="1560"/>
      <c r="E182" s="1560"/>
      <c r="F182" s="1571"/>
      <c r="G182" s="1571"/>
      <c r="H182" s="3728"/>
      <c r="I182" s="3729"/>
      <c r="N182" s="1570"/>
      <c r="O182" s="1570"/>
      <c r="P182" s="315"/>
    </row>
    <row r="183" spans="1:21" s="305" customFormat="1" ht="12.6" customHeight="1">
      <c r="A183" s="501"/>
      <c r="B183" s="501"/>
      <c r="C183" s="310" t="s">
        <v>2310</v>
      </c>
      <c r="D183" s="1560"/>
      <c r="E183" s="1560"/>
      <c r="F183" s="1571"/>
      <c r="G183" s="1571"/>
      <c r="H183" s="3730">
        <v>44013</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2799</v>
      </c>
      <c r="C185" s="333" t="s">
        <v>577</v>
      </c>
      <c r="M185" s="333" t="s">
        <v>2266</v>
      </c>
      <c r="N185" s="333" t="s">
        <v>80</v>
      </c>
    </row>
    <row r="186" spans="1:21" ht="409.5" customHeight="1">
      <c r="A186" s="3732"/>
      <c r="B186" s="3733"/>
      <c r="C186" s="3733"/>
      <c r="D186" s="3733"/>
      <c r="E186" s="3733"/>
      <c r="F186" s="3733"/>
      <c r="G186" s="3733"/>
      <c r="H186" s="3733"/>
      <c r="I186" s="3733"/>
      <c r="J186" s="3733"/>
      <c r="K186" s="3733"/>
      <c r="L186" s="3734"/>
      <c r="M186" s="3735"/>
      <c r="N186" s="3736"/>
      <c r="O186" s="3736"/>
      <c r="P186" s="3737"/>
      <c r="Q186" s="1619" t="s">
        <v>2709</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2902</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2903</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2904</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2905</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2906</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2907</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2908</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2909</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2910</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2577</v>
      </c>
      <c r="S614" s="3741" t="s">
        <v>634</v>
      </c>
      <c r="T614" s="3744"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2578</v>
      </c>
      <c r="S615" s="3741" t="s">
        <v>321</v>
      </c>
      <c r="T615" s="3744"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2579</v>
      </c>
      <c r="S616" s="3741" t="s">
        <v>2498</v>
      </c>
      <c r="T616" s="3744"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2580</v>
      </c>
      <c r="S617" s="3741"/>
      <c r="T617" s="3744"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2581</v>
      </c>
      <c r="S618" s="3741" t="s">
        <v>2022</v>
      </c>
      <c r="T618" s="3744"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2582</v>
      </c>
      <c r="S619" s="3741" t="s">
        <v>2498</v>
      </c>
      <c r="T619" s="3744"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2583</v>
      </c>
      <c r="S620" s="3741" t="s">
        <v>1339</v>
      </c>
      <c r="T620" s="3744"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2584</v>
      </c>
      <c r="S621" s="3741" t="s">
        <v>2024</v>
      </c>
      <c r="T621" s="3744"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2585</v>
      </c>
      <c r="S622" s="3741" t="s">
        <v>672</v>
      </c>
      <c r="T622" s="3744"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2586</v>
      </c>
      <c r="S623" s="3741" t="s">
        <v>634</v>
      </c>
      <c r="T623" s="3744"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2587</v>
      </c>
      <c r="S624" s="3741" t="s">
        <v>2187</v>
      </c>
      <c r="T624" s="3744"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2588</v>
      </c>
      <c r="S625" s="3741" t="s">
        <v>2547</v>
      </c>
      <c r="T625" s="3744"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2259</v>
      </c>
      <c r="S626" s="3741" t="s">
        <v>2544</v>
      </c>
      <c r="T626" s="3744"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2589</v>
      </c>
      <c r="S627" s="3741" t="s">
        <v>2187</v>
      </c>
      <c r="T627" s="3744"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2590</v>
      </c>
      <c r="S628" s="3741" t="s">
        <v>2501</v>
      </c>
      <c r="T628" s="3744"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2591</v>
      </c>
      <c r="S629" s="3741" t="s">
        <v>2022</v>
      </c>
      <c r="T629" s="3744"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1925</v>
      </c>
      <c r="T633" s="3744"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2020</v>
      </c>
      <c r="T634" s="3744"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2498</v>
      </c>
      <c r="T637" s="3744"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2020</v>
      </c>
      <c r="T642" s="3744"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2501</v>
      </c>
      <c r="T644" s="3744"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2544</v>
      </c>
      <c r="T645" s="3744"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2300</v>
      </c>
      <c r="S649" s="3741" t="s">
        <v>1218</v>
      </c>
      <c r="T649" s="3744"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1925</v>
      </c>
      <c r="T666" s="3744"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2020</v>
      </c>
      <c r="T667" s="3744"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2501</v>
      </c>
      <c r="T670" s="3744"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Xmr5qUkzu2Dt8D5sNFwpVKFpJrgsku0iatcdwSmIYhQJl8LFbpXOrzF7Nm9TOCZJfr1koI06cRsTP2vWfxV9YA==" saltValue="mjhyjrxqdS5HWrhqYqs4e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Sparrow Pointe at Forest Hill</v>
      </c>
      <c r="C1" s="2246"/>
      <c r="D1" s="2246"/>
      <c r="E1" s="2246"/>
      <c r="F1" s="2246"/>
      <c r="G1" s="2246"/>
      <c r="H1" s="1441"/>
    </row>
    <row r="2" spans="1:8" ht="21.95" customHeight="1">
      <c r="A2" s="1469"/>
      <c r="B2" s="1469"/>
      <c r="C2" s="1469"/>
      <c r="D2" s="1469"/>
      <c r="E2" s="1469"/>
      <c r="F2" s="1469"/>
      <c r="G2" s="1469"/>
      <c r="H2" s="1469"/>
    </row>
    <row r="3" spans="1:8" ht="20.25" customHeight="1">
      <c r="C3" s="2245" t="s">
        <v>3096</v>
      </c>
      <c r="D3" s="2245"/>
      <c r="E3" s="2245"/>
      <c r="F3" s="2245"/>
    </row>
    <row r="5" spans="1:8" ht="15.75">
      <c r="D5" s="1402"/>
      <c r="E5" s="1402" t="s">
        <v>3097</v>
      </c>
    </row>
    <row r="6" spans="1:8" ht="15.75">
      <c r="D6" s="1442" t="s">
        <v>2495</v>
      </c>
      <c r="E6" s="1442" t="s">
        <v>3098</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3099</v>
      </c>
      <c r="B1" s="2247"/>
      <c r="C1" s="2247"/>
      <c r="D1" s="2247"/>
      <c r="E1" s="2247"/>
      <c r="F1" s="2247"/>
      <c r="G1" s="2247"/>
      <c r="H1" s="2247"/>
      <c r="I1" s="2247"/>
      <c r="J1" s="2247"/>
      <c r="K1" s="2247"/>
    </row>
    <row r="2" spans="1:11" ht="15">
      <c r="A2" s="2261" t="str">
        <f>Overview!C8</f>
        <v>Sparrow Pointe at Forest Hill</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4524</v>
      </c>
      <c r="D5" s="2249"/>
      <c r="E5" s="2250"/>
      <c r="F5" s="593"/>
      <c r="G5" s="2248" t="s">
        <v>4525</v>
      </c>
      <c r="H5" s="2249"/>
      <c r="I5" s="2250"/>
      <c r="J5" s="809"/>
      <c r="K5" s="2259" t="s">
        <v>4526</v>
      </c>
    </row>
    <row r="6" spans="1:11" s="814" customFormat="1" ht="15" customHeight="1">
      <c r="A6" s="813" t="s">
        <v>2731</v>
      </c>
      <c r="C6" s="815" t="s">
        <v>3558</v>
      </c>
      <c r="D6" s="815" t="s">
        <v>4527</v>
      </c>
      <c r="E6" s="815" t="s">
        <v>2005</v>
      </c>
      <c r="G6" s="815" t="s">
        <v>3559</v>
      </c>
      <c r="H6" s="815" t="s">
        <v>4528</v>
      </c>
      <c r="I6" s="815" t="s">
        <v>2005</v>
      </c>
      <c r="K6" s="2260"/>
    </row>
    <row r="7" spans="1:11" s="593" customFormat="1" ht="13.5" customHeight="1">
      <c r="A7" s="593" t="s">
        <v>3100</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6</v>
      </c>
      <c r="E8" s="819">
        <f>C8*D8</f>
        <v>0</v>
      </c>
      <c r="G8" s="817"/>
      <c r="H8" s="818">
        <f>'Part VI-Revenues &amp; Expenses'!$K$62</f>
        <v>6</v>
      </c>
      <c r="I8" s="819">
        <f>G8*H8</f>
        <v>0</v>
      </c>
      <c r="K8" s="816" t="s">
        <v>3560</v>
      </c>
    </row>
    <row r="9" spans="1:11" s="593" customFormat="1" ht="13.5" customHeight="1">
      <c r="A9" s="593" t="s">
        <v>2730</v>
      </c>
      <c r="C9" s="817"/>
      <c r="D9" s="1407">
        <f>'Part VI-Revenues &amp; Expenses'!$L$58</f>
        <v>24</v>
      </c>
      <c r="E9" s="819">
        <f>C9*D9</f>
        <v>0</v>
      </c>
      <c r="G9" s="817"/>
      <c r="H9" s="818">
        <f>'Part VI-Revenues &amp; Expenses'!$L$62</f>
        <v>24</v>
      </c>
      <c r="I9" s="819">
        <f>G9*H9</f>
        <v>0</v>
      </c>
      <c r="K9" s="1414">
        <f>'Part IV-A-Uses of Funds'!$G$132</f>
        <v>10134678</v>
      </c>
    </row>
    <row r="10" spans="1:11" s="593" customFormat="1" ht="13.5" customHeight="1">
      <c r="A10" s="593" t="s">
        <v>2733</v>
      </c>
      <c r="C10" s="817"/>
      <c r="D10" s="1407">
        <f>'Part VI-Revenues &amp; Expenses'!$M$58</f>
        <v>20</v>
      </c>
      <c r="E10" s="819">
        <f>C10*D10</f>
        <v>0</v>
      </c>
      <c r="G10" s="817"/>
      <c r="H10" s="818">
        <f>'Part VI-Revenues &amp; Expenses'!$M$62</f>
        <v>20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50</v>
      </c>
      <c r="E12" s="826"/>
      <c r="G12" s="825" t="s">
        <v>1806</v>
      </c>
      <c r="H12" s="1413">
        <f>SUM(H7:H11)</f>
        <v>50</v>
      </c>
      <c r="I12" s="826"/>
      <c r="K12" s="2252"/>
    </row>
    <row r="13" spans="1:11" s="593" customFormat="1" ht="13.5" customHeight="1" thickBot="1">
      <c r="A13" s="825" t="s">
        <v>3101</v>
      </c>
      <c r="B13" s="827"/>
      <c r="E13" s="828">
        <f>SUM(E7:E11)</f>
        <v>0</v>
      </c>
      <c r="G13" s="825" t="s">
        <v>3337</v>
      </c>
      <c r="H13" s="827"/>
      <c r="I13" s="829">
        <f>SUM(I7:I11)</f>
        <v>0</v>
      </c>
      <c r="K13" s="1414">
        <f>'Part VIII-Threshold Criteria'!$P$63</f>
        <v>10137572</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4312</v>
      </c>
      <c r="F18" s="1416"/>
      <c r="G18" s="1416"/>
      <c r="H18" s="1416"/>
      <c r="I18" s="1416"/>
      <c r="K18" s="1392">
        <f>Overview!$E$13</f>
        <v>50</v>
      </c>
    </row>
    <row r="19" spans="1:11" s="593" customFormat="1" ht="13.5" customHeight="1">
      <c r="A19" s="593" t="s">
        <v>3102</v>
      </c>
      <c r="E19" s="1410"/>
      <c r="K19" s="680">
        <f>Overview!$C$13</f>
        <v>50</v>
      </c>
    </row>
    <row r="20" spans="1:11" ht="3" customHeight="1">
      <c r="A20" s="831"/>
      <c r="E20" s="1411"/>
    </row>
    <row r="21" spans="1:11" s="593" customFormat="1" ht="13.5" customHeight="1">
      <c r="A21" s="593" t="s">
        <v>3103</v>
      </c>
      <c r="E21" s="1409" t="s">
        <v>3563</v>
      </c>
      <c r="K21" s="832">
        <f>K18/K19</f>
        <v>1</v>
      </c>
    </row>
    <row r="22" spans="1:11" ht="6.75" customHeight="1">
      <c r="E22" s="1411"/>
    </row>
    <row r="23" spans="1:11" s="593" customFormat="1" ht="13.5" customHeight="1">
      <c r="A23" s="593" t="s">
        <v>3526</v>
      </c>
      <c r="C23" s="833"/>
      <c r="E23" s="1409" t="s">
        <v>3106</v>
      </c>
      <c r="K23" s="680">
        <f>K9</f>
        <v>10134678</v>
      </c>
    </row>
    <row r="24" spans="1:11" s="593" customFormat="1" ht="13.5" customHeight="1">
      <c r="A24" s="834" t="s">
        <v>1773</v>
      </c>
      <c r="E24" s="1410"/>
      <c r="K24" s="820">
        <f>'Part IV-A-Uses of Funds'!$G$122</f>
        <v>106125</v>
      </c>
    </row>
    <row r="25" spans="1:11" s="593" customFormat="1" ht="13.5" customHeight="1">
      <c r="A25" s="834" t="s">
        <v>3107</v>
      </c>
      <c r="E25" s="1410"/>
      <c r="K25" s="835">
        <v>0</v>
      </c>
    </row>
    <row r="26" spans="1:11" s="593" customFormat="1" ht="13.5" customHeight="1">
      <c r="A26" s="834" t="s">
        <v>3107</v>
      </c>
      <c r="E26" s="1410"/>
      <c r="K26" s="835">
        <v>0</v>
      </c>
    </row>
    <row r="27" spans="1:11" ht="3" customHeight="1">
      <c r="A27" s="836"/>
      <c r="E27" s="1411"/>
      <c r="K27" s="837">
        <v>0</v>
      </c>
    </row>
    <row r="28" spans="1:11" s="827" customFormat="1" ht="13.5" customHeight="1">
      <c r="A28" s="827" t="s">
        <v>3108</v>
      </c>
      <c r="E28" s="1412"/>
      <c r="K28" s="838">
        <f>K23-SUM(K24:K27)</f>
        <v>10028553</v>
      </c>
    </row>
    <row r="29" spans="1:11" ht="6.75" customHeight="1">
      <c r="A29" s="831"/>
      <c r="E29" s="1411"/>
      <c r="K29" s="839"/>
    </row>
    <row r="30" spans="1:11" s="593" customFormat="1" ht="15" customHeight="1">
      <c r="A30" s="827" t="s">
        <v>3109</v>
      </c>
      <c r="E30" s="1409" t="s">
        <v>3570</v>
      </c>
      <c r="F30" s="840"/>
      <c r="G30" s="840"/>
      <c r="H30" s="840"/>
      <c r="I30" s="840"/>
      <c r="K30" s="841">
        <f>K21*K28</f>
        <v>10028553</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0</v>
      </c>
    </row>
    <row r="37" spans="1:11" s="593" customFormat="1" ht="9" customHeight="1" thickBot="1">
      <c r="E37" s="846"/>
      <c r="F37" s="846"/>
      <c r="G37" s="846"/>
      <c r="H37" s="846"/>
      <c r="K37" s="847"/>
    </row>
    <row r="38" spans="1:11" s="593" customFormat="1" ht="15.75" customHeight="1">
      <c r="A38" s="2253" t="s">
        <v>3568</v>
      </c>
      <c r="B38" s="2253"/>
      <c r="C38" s="2253"/>
      <c r="D38" s="2254" t="s">
        <v>3104</v>
      </c>
      <c r="E38" s="2254"/>
      <c r="F38" s="2254" t="s">
        <v>3105</v>
      </c>
      <c r="G38" s="2254"/>
      <c r="H38" s="2254"/>
      <c r="I38" s="1470" t="s">
        <v>2846</v>
      </c>
      <c r="K38" s="2255">
        <f>ROUND((D39/F39)*I39,0)</f>
        <v>0</v>
      </c>
    </row>
    <row r="39" spans="1:11" s="593" customFormat="1" ht="15.75" customHeight="1" thickBot="1">
      <c r="A39" s="2253"/>
      <c r="B39" s="2253"/>
      <c r="C39" s="2253"/>
      <c r="D39" s="2257">
        <f>K36</f>
        <v>0</v>
      </c>
      <c r="E39" s="2257"/>
      <c r="F39" s="2258">
        <f>K28</f>
        <v>10028553</v>
      </c>
      <c r="G39" s="2258"/>
      <c r="H39" s="2258"/>
      <c r="I39" s="848">
        <f>K19</f>
        <v>50</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2018-030  Sparrow Pointe at Forest Hill</v>
      </c>
      <c r="B1" s="2262"/>
      <c r="C1" s="2262"/>
      <c r="D1" s="2262"/>
      <c r="E1" s="2262"/>
      <c r="F1" s="2262"/>
      <c r="G1" s="2262"/>
      <c r="H1" s="2262"/>
    </row>
    <row r="3" spans="1:13" ht="12" customHeight="1">
      <c r="A3" s="2263" t="s">
        <v>3529</v>
      </c>
      <c r="B3" s="2263"/>
      <c r="C3" s="2263"/>
      <c r="D3" s="2263"/>
      <c r="E3" s="2263"/>
      <c r="F3" s="2263"/>
      <c r="G3" s="2263"/>
      <c r="H3" s="2263"/>
      <c r="I3" s="1474"/>
      <c r="J3" s="2265" t="s">
        <v>4313</v>
      </c>
      <c r="K3" s="2265"/>
      <c r="L3" s="882"/>
      <c r="M3" s="882"/>
    </row>
    <row r="4" spans="1:13">
      <c r="J4" s="2265"/>
      <c r="K4" s="2265"/>
    </row>
    <row r="5" spans="1:13" ht="12" customHeight="1">
      <c r="A5" s="809">
        <v>1</v>
      </c>
      <c r="C5" s="809" t="s">
        <v>3111</v>
      </c>
      <c r="E5" s="864" t="str">
        <f>Overview!H9</f>
        <v>Sparrow Pointe Housing, LP</v>
      </c>
      <c r="J5" s="2265"/>
      <c r="K5" s="2265"/>
    </row>
    <row r="6" spans="1:13" ht="3" customHeight="1">
      <c r="H6" s="826"/>
      <c r="J6" s="2265"/>
      <c r="K6" s="2265"/>
    </row>
    <row r="7" spans="1:13" ht="12" customHeight="1">
      <c r="A7" s="809">
        <v>2</v>
      </c>
      <c r="C7" s="809" t="s">
        <v>3112</v>
      </c>
      <c r="E7" s="864" t="str">
        <f>'Part II-Development Team'!H6</f>
        <v>1631 E. Vine Street, Suite 300</v>
      </c>
      <c r="J7" s="2265"/>
      <c r="K7" s="2265"/>
    </row>
    <row r="8" spans="1:13" ht="12" customHeight="1">
      <c r="E8" s="864" t="str">
        <f>+'Part II-Development Team'!H7&amp;","&amp;" "&amp;'Part II-Development Team'!H8&amp;" "&amp;LEFT('Part II-Development Team'!J8,5)</f>
        <v>Kissimmee, FL 34744</v>
      </c>
      <c r="J8" s="2265"/>
      <c r="K8" s="2265"/>
    </row>
    <row r="9" spans="1:13" ht="12" customHeight="1">
      <c r="C9" s="809" t="s">
        <v>3113</v>
      </c>
      <c r="E9" s="2264" t="str">
        <f>'Part II-Development Team'!L7</f>
        <v>TBD</v>
      </c>
      <c r="F9" s="2264"/>
      <c r="J9" s="2265"/>
      <c r="K9" s="2265"/>
    </row>
    <row r="10" spans="1:13" ht="12" customHeight="1">
      <c r="C10" s="809" t="s">
        <v>3114</v>
      </c>
      <c r="E10" s="864" t="str">
        <f>'Part II-Development Team'!Q5</f>
        <v>Deion Lowery</v>
      </c>
    </row>
    <row r="11" spans="1:13" ht="12" customHeight="1">
      <c r="C11" s="809" t="s">
        <v>4318</v>
      </c>
      <c r="E11" s="864" t="str">
        <f>'Part II-Development Team'!L9</f>
        <v>lisa.lacock@birdsonghousing.com</v>
      </c>
    </row>
    <row r="12" spans="1:13" ht="12" customHeight="1">
      <c r="C12" s="809" t="s">
        <v>4314</v>
      </c>
      <c r="E12" s="1475">
        <f>'Part II-Development Team'!H9</f>
        <v>9046196215</v>
      </c>
    </row>
    <row r="13" spans="1:13" ht="12" customHeight="1">
      <c r="C13" s="809" t="s">
        <v>4317</v>
      </c>
      <c r="E13" s="1475">
        <f>'Part II-Development Team'!Q7</f>
        <v>9046196215</v>
      </c>
    </row>
    <row r="14" spans="1:13" ht="3" customHeight="1"/>
    <row r="15" spans="1:13" ht="12" customHeight="1">
      <c r="A15" s="809">
        <v>3</v>
      </c>
      <c r="C15" s="809" t="s">
        <v>3115</v>
      </c>
      <c r="E15" s="864" t="str">
        <f>Overview!C8</f>
        <v>Sparrow Pointe at Forest Hill</v>
      </c>
    </row>
    <row r="16" spans="1:13" ht="12" customHeight="1">
      <c r="C16" s="809" t="s">
        <v>3116</v>
      </c>
      <c r="E16" s="864" t="str">
        <f>'Part I-Project Information'!$F$35</f>
        <v>8th Street SE</v>
      </c>
    </row>
    <row r="17" spans="1:8" ht="12" customHeight="1">
      <c r="E17" s="864" t="str">
        <f>+'Part I-Project Information'!$F$38&amp;","&amp;" GA "&amp;LEFT('Part I-Project Information'!$J$38,5)</f>
        <v>Moultrie, GA 31768</v>
      </c>
    </row>
    <row r="18" spans="1:8" ht="3" customHeight="1"/>
    <row r="19" spans="1:8" ht="12" customHeight="1">
      <c r="A19" s="809">
        <v>4</v>
      </c>
      <c r="C19" s="809" t="s">
        <v>3117</v>
      </c>
      <c r="E19" s="864" t="str">
        <f>'Part II-Development Team'!H92</f>
        <v>Fairway Management, Inc.</v>
      </c>
    </row>
    <row r="20" spans="1:8" ht="12" customHeight="1">
      <c r="C20" s="809" t="s">
        <v>3118</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4314</v>
      </c>
      <c r="E22" s="1475">
        <f>'Part II-Development Team'!H96</f>
        <v>5734432021</v>
      </c>
    </row>
    <row r="23" spans="1:8" ht="12" customHeight="1">
      <c r="C23" s="809" t="s">
        <v>4317</v>
      </c>
      <c r="E23" s="1475">
        <f>'Part II-Development Team'!Q94</f>
        <v>5734432021</v>
      </c>
    </row>
    <row r="24" spans="1:8" ht="12" customHeight="1">
      <c r="C24" s="809" t="s">
        <v>4318</v>
      </c>
      <c r="E24" s="1475" t="str">
        <f>'Part II-Development Team'!L96</f>
        <v>rstevens@fairwaymanagement.com</v>
      </c>
    </row>
    <row r="25" spans="1:8" ht="3" customHeight="1">
      <c r="E25" s="864"/>
    </row>
    <row r="26" spans="1:8" ht="12" customHeight="1">
      <c r="A26" s="809">
        <v>5</v>
      </c>
      <c r="C26" s="809" t="s">
        <v>3119</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3120</v>
      </c>
      <c r="E30" s="809" t="s">
        <v>2424</v>
      </c>
      <c r="F30" s="1476">
        <f>'Part III-Sources of Funds'!L19</f>
        <v>6862941</v>
      </c>
      <c r="G30" s="809" t="s">
        <v>3121</v>
      </c>
    </row>
    <row r="31" spans="1:8" ht="12" customHeight="1">
      <c r="F31" s="1476" t="s">
        <v>3122</v>
      </c>
      <c r="G31" s="809" t="s">
        <v>3123</v>
      </c>
    </row>
    <row r="32" spans="1:8" ht="3" customHeight="1">
      <c r="F32" s="854"/>
    </row>
    <row r="33" spans="1:7" ht="12" customHeight="1">
      <c r="A33" s="809">
        <v>7</v>
      </c>
      <c r="C33" s="809" t="s">
        <v>3124</v>
      </c>
      <c r="F33" s="1477">
        <v>0</v>
      </c>
    </row>
    <row r="34" spans="1:7" ht="3" customHeight="1">
      <c r="F34" s="854"/>
    </row>
    <row r="35" spans="1:7" ht="12" customHeight="1">
      <c r="A35" s="809">
        <v>8</v>
      </c>
      <c r="C35" s="809" t="s">
        <v>3125</v>
      </c>
      <c r="E35" s="809" t="s">
        <v>2424</v>
      </c>
      <c r="F35" s="1478">
        <v>0.01</v>
      </c>
    </row>
    <row r="36" spans="1:7" ht="3" customHeight="1">
      <c r="F36" s="1477"/>
    </row>
    <row r="37" spans="1:7" ht="12" customHeight="1">
      <c r="A37" s="809">
        <v>9</v>
      </c>
      <c r="C37" s="809" t="s">
        <v>3126</v>
      </c>
      <c r="F37" s="1479">
        <v>24</v>
      </c>
      <c r="G37" s="809" t="s">
        <v>3127</v>
      </c>
    </row>
    <row r="38" spans="1:7" ht="3" customHeight="1">
      <c r="F38" s="1477"/>
    </row>
    <row r="39" spans="1:7" ht="12" customHeight="1">
      <c r="A39" s="809">
        <v>10</v>
      </c>
      <c r="C39" s="809" t="s">
        <v>3128</v>
      </c>
      <c r="E39" s="809" t="s">
        <v>2424</v>
      </c>
      <c r="F39" s="854">
        <f>'Part III-Sources of Funds'!L37*12</f>
        <v>0</v>
      </c>
      <c r="G39" s="809" t="s">
        <v>3127</v>
      </c>
    </row>
    <row r="40" spans="1:7" ht="3" customHeight="1">
      <c r="F40" s="854"/>
    </row>
    <row r="41" spans="1:7" ht="12" customHeight="1">
      <c r="A41" s="809">
        <v>11</v>
      </c>
      <c r="C41" s="809" t="s">
        <v>3129</v>
      </c>
      <c r="F41" s="1480">
        <v>24</v>
      </c>
      <c r="G41" s="809" t="s">
        <v>3127</v>
      </c>
    </row>
    <row r="42" spans="1:7" ht="3" customHeight="1"/>
    <row r="43" spans="1:7" ht="12" customHeight="1">
      <c r="A43" s="809">
        <v>12</v>
      </c>
      <c r="C43" s="809" t="s">
        <v>3130</v>
      </c>
      <c r="F43" s="1481" t="s">
        <v>3131</v>
      </c>
    </row>
    <row r="44" spans="1:7" ht="3" customHeight="1"/>
    <row r="45" spans="1:7" ht="12" customHeight="1">
      <c r="A45" s="809">
        <v>13</v>
      </c>
      <c r="C45" s="809" t="s">
        <v>3132</v>
      </c>
      <c r="E45" s="809" t="s">
        <v>2424</v>
      </c>
      <c r="F45" s="864" t="s">
        <v>3133</v>
      </c>
    </row>
    <row r="46" spans="1:7" ht="3" customHeight="1">
      <c r="F46" s="826"/>
    </row>
    <row r="47" spans="1:7" ht="12" customHeight="1">
      <c r="A47" s="809">
        <v>14</v>
      </c>
      <c r="C47" s="809" t="s">
        <v>3134</v>
      </c>
      <c r="E47" s="864" t="str">
        <f>'Part II-Development Team'!H14</f>
        <v>Sparrow Pointe Housing GP, LLC</v>
      </c>
    </row>
    <row r="48" spans="1:7" ht="3" customHeight="1">
      <c r="E48" s="864"/>
    </row>
    <row r="49" spans="1:7" ht="12" customHeight="1">
      <c r="A49" s="809">
        <v>15</v>
      </c>
      <c r="C49" s="809" t="s">
        <v>4320</v>
      </c>
      <c r="E49" s="864" t="str">
        <f>'Part II-Development Team'!Q98</f>
        <v>Russ Henry</v>
      </c>
      <c r="G49" s="864" t="str">
        <f>'Part II-Development Team'!H98</f>
        <v>Coleman Talley LLP</v>
      </c>
    </row>
    <row r="50" spans="1:7" ht="12" customHeight="1">
      <c r="C50" s="809" t="s">
        <v>3135</v>
      </c>
      <c r="E50" s="864">
        <f>'Part II-Development Team'!O102</f>
        <v>0</v>
      </c>
      <c r="F50" s="854"/>
    </row>
    <row r="51" spans="1:7" ht="3" customHeight="1">
      <c r="F51" s="854"/>
    </row>
    <row r="52" spans="1:7" ht="12" customHeight="1">
      <c r="A52" s="809">
        <v>16</v>
      </c>
      <c r="C52" s="809" t="s">
        <v>3136</v>
      </c>
      <c r="F52" s="1480">
        <f>Overview!C13</f>
        <v>50</v>
      </c>
    </row>
    <row r="53" spans="1:7" ht="3" customHeight="1">
      <c r="F53" s="854"/>
    </row>
    <row r="54" spans="1:7" ht="12" customHeight="1">
      <c r="A54" s="882">
        <v>17</v>
      </c>
      <c r="B54" s="882"/>
      <c r="C54" s="882" t="s">
        <v>3137</v>
      </c>
      <c r="D54" s="882"/>
      <c r="E54" s="882"/>
      <c r="F54" s="1482">
        <f>'Subsidy Layering WS'!K18</f>
        <v>50</v>
      </c>
      <c r="G54" s="882"/>
    </row>
    <row r="55" spans="1:7" ht="3" customHeight="1">
      <c r="F55" s="854"/>
    </row>
    <row r="56" spans="1:7" ht="12" customHeight="1">
      <c r="A56" s="809">
        <v>18</v>
      </c>
      <c r="C56" s="809" t="s">
        <v>3138</v>
      </c>
      <c r="F56" s="1482">
        <f>'Part VI-Revenues &amp; Expenses'!O61</f>
        <v>0</v>
      </c>
      <c r="G56" s="809" t="s">
        <v>4319</v>
      </c>
    </row>
    <row r="57" spans="1:7" ht="3" customHeight="1">
      <c r="F57" s="854"/>
    </row>
    <row r="58" spans="1:7" ht="12" customHeight="1">
      <c r="A58" s="809">
        <v>19</v>
      </c>
      <c r="C58" s="809" t="s">
        <v>3139</v>
      </c>
      <c r="F58" s="1483"/>
      <c r="G58" s="809" t="s">
        <v>3530</v>
      </c>
    </row>
    <row r="59" spans="1:7" ht="3" customHeight="1">
      <c r="F59" s="854"/>
    </row>
    <row r="60" spans="1:7" ht="12" customHeight="1">
      <c r="A60" s="809">
        <v>20</v>
      </c>
      <c r="C60" s="809" t="s">
        <v>3140</v>
      </c>
      <c r="F60" s="1484" t="s">
        <v>979</v>
      </c>
      <c r="G60" s="882"/>
    </row>
    <row r="61" spans="1:7" ht="3" customHeight="1"/>
    <row r="62" spans="1:7" ht="12" customHeight="1">
      <c r="A62" s="809">
        <v>21</v>
      </c>
      <c r="C62" s="809" t="s">
        <v>3545</v>
      </c>
      <c r="E62" s="1485" t="s">
        <v>3531</v>
      </c>
      <c r="F62" s="1486" t="s">
        <v>3532</v>
      </c>
      <c r="G62" s="1485" t="s">
        <v>3141</v>
      </c>
    </row>
    <row r="63" spans="1:7" ht="12" customHeight="1">
      <c r="E63" s="1485" t="s">
        <v>3531</v>
      </c>
      <c r="F63" s="1486" t="s">
        <v>3532</v>
      </c>
      <c r="G63" s="1485"/>
    </row>
    <row r="64" spans="1:7" ht="3" customHeight="1"/>
    <row r="65" spans="1:7" ht="12" customHeight="1">
      <c r="A65" s="809">
        <v>22</v>
      </c>
      <c r="C65" s="809" t="s">
        <v>3142</v>
      </c>
      <c r="E65" s="864" t="str">
        <f>Overview!H9</f>
        <v>Sparrow Pointe Housing, LP</v>
      </c>
    </row>
    <row r="66" spans="1:7" ht="3" customHeight="1"/>
    <row r="67" spans="1:7" ht="12" customHeight="1">
      <c r="A67" s="809">
        <v>23</v>
      </c>
      <c r="C67" s="809" t="s">
        <v>3143</v>
      </c>
      <c r="F67" s="854" t="s">
        <v>3144</v>
      </c>
    </row>
    <row r="68" spans="1:7" ht="3" customHeight="1"/>
    <row r="69" spans="1:7" ht="12" customHeight="1">
      <c r="A69" s="809">
        <v>24</v>
      </c>
      <c r="C69" s="809" t="s">
        <v>3145</v>
      </c>
      <c r="E69" s="809" t="s">
        <v>2424</v>
      </c>
      <c r="F69" s="854">
        <v>20</v>
      </c>
      <c r="G69" s="809" t="s">
        <v>2484</v>
      </c>
    </row>
    <row r="70" spans="1:7" ht="3" customHeight="1"/>
    <row r="71" spans="1:7" ht="12" customHeight="1">
      <c r="A71" s="809">
        <v>25</v>
      </c>
      <c r="C71" s="809" t="s">
        <v>3146</v>
      </c>
      <c r="F71" s="1487">
        <f>'Part IV-A-Uses of Funds'!$G$122</f>
        <v>106125</v>
      </c>
    </row>
    <row r="72" spans="1:7" ht="3" customHeight="1">
      <c r="F72" s="1487"/>
    </row>
    <row r="73" spans="1:7" ht="12" customHeight="1">
      <c r="A73" s="809">
        <v>26</v>
      </c>
      <c r="C73" s="809" t="s">
        <v>3147</v>
      </c>
      <c r="F73" s="1487">
        <f>'Part IV-A-Uses of Funds'!$G$123</f>
        <v>0</v>
      </c>
    </row>
    <row r="74" spans="1:7" ht="3" customHeight="1">
      <c r="F74" s="1487"/>
    </row>
    <row r="75" spans="1:7" ht="12" customHeight="1">
      <c r="A75" s="809">
        <v>27</v>
      </c>
      <c r="C75" s="809" t="s">
        <v>3148</v>
      </c>
      <c r="F75" s="1488">
        <f>'Part IV-A-Uses of Funds'!$G$121</f>
        <v>53063</v>
      </c>
    </row>
    <row r="76" spans="1:7" ht="3" customHeight="1">
      <c r="F76" s="1487"/>
    </row>
    <row r="77" spans="1:7" ht="12" customHeight="1">
      <c r="A77" s="809">
        <v>28</v>
      </c>
      <c r="C77" s="809" t="s">
        <v>3149</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3339</v>
      </c>
      <c r="B1" s="2280"/>
      <c r="C1" s="2280"/>
      <c r="D1" s="2280"/>
      <c r="E1" s="2280"/>
      <c r="F1" s="2280"/>
      <c r="G1" s="2280"/>
      <c r="H1" s="2280"/>
      <c r="I1" s="2280"/>
      <c r="J1" s="2280"/>
    </row>
    <row r="2" spans="1:13" ht="15">
      <c r="A2" s="2280" t="str">
        <f>Overview!E8&amp;"  "&amp;Overview!C8</f>
        <v>2018-030  Sparrow Pointe at Forest Hill</v>
      </c>
      <c r="B2" s="2280"/>
      <c r="C2" s="2280"/>
      <c r="D2" s="2280"/>
      <c r="E2" s="2280"/>
      <c r="F2" s="2280"/>
      <c r="G2" s="2280"/>
      <c r="H2" s="2280"/>
      <c r="I2" s="2280"/>
      <c r="J2" s="2280"/>
    </row>
    <row r="3" spans="1:13" ht="6" customHeight="1">
      <c r="K3" s="2265" t="s">
        <v>4313</v>
      </c>
      <c r="L3" s="2265"/>
      <c r="M3" s="2265"/>
    </row>
    <row r="4" spans="1:13" ht="12" customHeight="1">
      <c r="A4" s="850" t="s">
        <v>3150</v>
      </c>
      <c r="K4" s="2265"/>
      <c r="L4" s="2265"/>
      <c r="M4" s="2265"/>
    </row>
    <row r="5" spans="1:13" ht="12" customHeight="1">
      <c r="A5" s="809" t="s">
        <v>3151</v>
      </c>
      <c r="C5" s="851" t="str">
        <f>'Subsidy Layering Memo'!D6</f>
        <v>(Underwriter)</v>
      </c>
      <c r="I5" s="851"/>
      <c r="K5" s="2265"/>
      <c r="L5" s="2265"/>
      <c r="M5" s="2265"/>
    </row>
    <row r="6" spans="1:13" ht="6" customHeight="1">
      <c r="C6" s="746"/>
      <c r="D6" s="851"/>
      <c r="I6" s="851"/>
      <c r="K6" s="2265"/>
      <c r="L6" s="2265"/>
      <c r="M6" s="2265"/>
    </row>
    <row r="7" spans="1:13" ht="12" customHeight="1">
      <c r="A7" s="850" t="s">
        <v>3152</v>
      </c>
      <c r="C7" s="746"/>
      <c r="D7" s="851"/>
      <c r="I7" s="851"/>
      <c r="K7" s="2265"/>
      <c r="L7" s="2265"/>
      <c r="M7" s="2265"/>
    </row>
    <row r="8" spans="1:13" ht="12" customHeight="1">
      <c r="A8" s="809" t="s">
        <v>3153</v>
      </c>
      <c r="C8" s="851" t="str">
        <f>Overview!$H$9</f>
        <v>Sparrow Pointe Housing, LP</v>
      </c>
      <c r="I8" s="851"/>
      <c r="K8" s="2265"/>
      <c r="L8" s="2265"/>
      <c r="M8" s="2265"/>
    </row>
    <row r="9" spans="1:13" ht="3" customHeight="1">
      <c r="C9" s="746"/>
      <c r="D9" s="851"/>
      <c r="I9" s="851"/>
    </row>
    <row r="10" spans="1:13" ht="12" customHeight="1">
      <c r="A10" s="809" t="s">
        <v>3154</v>
      </c>
      <c r="C10" s="1419" t="s">
        <v>1784</v>
      </c>
      <c r="I10" s="851"/>
    </row>
    <row r="11" spans="1:13" ht="12" customHeight="1">
      <c r="C11" s="1419" t="s">
        <v>1784</v>
      </c>
      <c r="I11" s="851"/>
    </row>
    <row r="12" spans="1:13" ht="12" customHeight="1">
      <c r="C12" s="851" t="s">
        <v>2695</v>
      </c>
      <c r="D12" s="872" t="s">
        <v>1784</v>
      </c>
      <c r="I12" s="851"/>
    </row>
    <row r="13" spans="1:13" ht="12" customHeight="1">
      <c r="C13" s="851" t="s">
        <v>3155</v>
      </c>
      <c r="D13" s="2273"/>
      <c r="E13" s="2273"/>
      <c r="F13" s="2273"/>
      <c r="G13" s="2273"/>
      <c r="H13" s="2273"/>
      <c r="I13" s="2273"/>
      <c r="J13" s="2273"/>
    </row>
    <row r="14" spans="1:13" ht="3" customHeight="1">
      <c r="G14" s="746"/>
      <c r="H14" s="851"/>
      <c r="I14" s="851"/>
    </row>
    <row r="15" spans="1:13" ht="12" customHeight="1">
      <c r="A15" s="809" t="s">
        <v>3156</v>
      </c>
      <c r="C15" s="853" t="str">
        <f>'Preview term'!E10</f>
        <v>Deion Lowery</v>
      </c>
      <c r="G15" s="746"/>
      <c r="I15" s="851"/>
    </row>
    <row r="16" spans="1:13" ht="12" customHeight="1">
      <c r="A16" s="864" t="s">
        <v>4529</v>
      </c>
      <c r="C16" s="853" t="str">
        <f>'Part II-Development Team'!Q6</f>
        <v>Principal</v>
      </c>
      <c r="G16" s="746"/>
      <c r="I16" s="851"/>
    </row>
    <row r="17" spans="1:9" ht="3" customHeight="1">
      <c r="G17" s="746"/>
      <c r="H17" s="851"/>
      <c r="I17" s="851"/>
    </row>
    <row r="18" spans="1:9" ht="12" customHeight="1">
      <c r="A18" s="809" t="s">
        <v>3157</v>
      </c>
      <c r="C18" s="853" t="str">
        <f>'Preview term'!$E$7</f>
        <v>1631 E. Vine Street, Suite 300</v>
      </c>
      <c r="G18" s="746"/>
      <c r="I18" s="851"/>
    </row>
    <row r="19" spans="1:9" ht="12" customHeight="1">
      <c r="C19" s="853" t="str">
        <f>'Preview term'!$E$8</f>
        <v>Kissimmee, FL 34744</v>
      </c>
      <c r="G19" s="746"/>
      <c r="I19" s="851"/>
    </row>
    <row r="20" spans="1:9" ht="3" customHeight="1">
      <c r="G20" s="746"/>
      <c r="H20" s="851"/>
      <c r="I20" s="851"/>
    </row>
    <row r="21" spans="1:9" ht="12" customHeight="1">
      <c r="A21" s="809" t="s">
        <v>3158</v>
      </c>
      <c r="C21" s="853" t="str">
        <f>CONCATENATE('Preview term'!E49," of  ",'Preview term'!G49)</f>
        <v>Russ Henry of  Coleman Talley LLP</v>
      </c>
      <c r="G21" s="746"/>
      <c r="I21" s="851"/>
    </row>
    <row r="22" spans="1:9" ht="3" customHeight="1">
      <c r="C22" s="853"/>
      <c r="G22" s="746"/>
      <c r="I22" s="851"/>
    </row>
    <row r="23" spans="1:9" ht="12" customHeight="1">
      <c r="A23" s="809" t="s">
        <v>3159</v>
      </c>
      <c r="C23" s="853">
        <f>'Preview term'!E12</f>
        <v>9046196215</v>
      </c>
      <c r="G23" s="746"/>
      <c r="I23" s="851"/>
    </row>
    <row r="24" spans="1:9" ht="3" customHeight="1">
      <c r="C24" s="853"/>
      <c r="G24" s="746"/>
      <c r="I24" s="851"/>
    </row>
    <row r="25" spans="1:9" ht="12" customHeight="1">
      <c r="A25" s="809" t="s">
        <v>3160</v>
      </c>
      <c r="C25" s="1421" t="str">
        <f>'Preview term'!E11</f>
        <v>lisa.lacock@birdsonghousing.com</v>
      </c>
      <c r="G25" s="746"/>
    </row>
    <row r="26" spans="1:9" ht="6" customHeight="1">
      <c r="G26" s="746"/>
      <c r="H26" s="851"/>
      <c r="I26" s="851"/>
    </row>
    <row r="27" spans="1:9" ht="12" customHeight="1">
      <c r="A27" s="850" t="s">
        <v>3161</v>
      </c>
      <c r="G27" s="746"/>
      <c r="H27" s="851"/>
      <c r="I27" s="851"/>
    </row>
    <row r="28" spans="1:9" ht="12" customHeight="1">
      <c r="A28" s="809" t="s">
        <v>3162</v>
      </c>
      <c r="C28" s="853" t="str">
        <f>Overview!$C$8</f>
        <v>Sparrow Pointe at Forest Hill</v>
      </c>
      <c r="I28" s="851"/>
    </row>
    <row r="29" spans="1:9" ht="3" customHeight="1">
      <c r="C29" s="853"/>
      <c r="I29" s="851"/>
    </row>
    <row r="30" spans="1:9" ht="12" customHeight="1">
      <c r="A30" s="809" t="s">
        <v>3163</v>
      </c>
      <c r="C30" s="853" t="str">
        <f>'Preview term'!E16</f>
        <v>8th Street SE</v>
      </c>
      <c r="I30" s="851"/>
    </row>
    <row r="31" spans="1:9">
      <c r="C31" s="851" t="str">
        <f>'Preview term'!E17</f>
        <v>Moultrie, GA 31768</v>
      </c>
      <c r="I31" s="851"/>
    </row>
    <row r="32" spans="1:9" ht="3" customHeight="1">
      <c r="C32" s="746"/>
      <c r="D32" s="746"/>
      <c r="I32" s="746"/>
    </row>
    <row r="33" spans="1:10" ht="12" customHeight="1">
      <c r="A33" s="809" t="s">
        <v>3164</v>
      </c>
      <c r="C33" s="746" t="s">
        <v>3165</v>
      </c>
      <c r="D33" s="1420">
        <f>'Preview term'!F54</f>
        <v>50</v>
      </c>
      <c r="I33" s="746"/>
    </row>
    <row r="34" spans="1:10" ht="12" customHeight="1">
      <c r="C34" s="746" t="s">
        <v>3166</v>
      </c>
      <c r="D34" s="855">
        <f>'Subsidy Layering WS'!H12-'Subsidy Layering WS'!D12</f>
        <v>0</v>
      </c>
      <c r="I34" s="746"/>
    </row>
    <row r="35" spans="1:10" ht="12" customHeight="1">
      <c r="C35" s="746" t="s">
        <v>3167</v>
      </c>
      <c r="D35" s="856">
        <f>SUM(D33:D34)</f>
        <v>50</v>
      </c>
      <c r="I35" s="746"/>
    </row>
    <row r="36" spans="1:10" ht="3" customHeight="1">
      <c r="C36" s="746"/>
      <c r="D36" s="746"/>
      <c r="I36" s="746"/>
    </row>
    <row r="37" spans="1:10" ht="12" customHeight="1">
      <c r="A37" s="809" t="s">
        <v>3168</v>
      </c>
      <c r="C37" s="1485" t="s">
        <v>1784</v>
      </c>
      <c r="D37" s="1418">
        <f>'Preview term'!F56</f>
        <v>0</v>
      </c>
      <c r="E37" s="746" t="s">
        <v>3169</v>
      </c>
      <c r="I37" s="746"/>
    </row>
    <row r="38" spans="1:10" ht="3" customHeight="1">
      <c r="G38" s="857"/>
      <c r="H38" s="746"/>
      <c r="I38" s="746"/>
    </row>
    <row r="39" spans="1:10" ht="25.5" customHeight="1">
      <c r="A39" s="858" t="s">
        <v>3170</v>
      </c>
      <c r="C39" s="2281"/>
      <c r="D39" s="2281"/>
      <c r="E39" s="2281"/>
      <c r="F39" s="2281"/>
      <c r="G39" s="2281"/>
      <c r="H39" s="2281"/>
      <c r="I39" s="2281"/>
      <c r="J39" s="2281"/>
    </row>
    <row r="40" spans="1:10" ht="3" customHeight="1">
      <c r="G40" s="746"/>
      <c r="H40" s="746"/>
      <c r="I40" s="746"/>
    </row>
    <row r="41" spans="1:10" ht="25.5" customHeight="1">
      <c r="A41" s="858" t="s">
        <v>3171</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3172</v>
      </c>
      <c r="C43" s="678" t="str">
        <f>'Part I-Project Information'!J39</f>
        <v>Colquitt</v>
      </c>
      <c r="D43" s="591"/>
      <c r="F43" s="592"/>
      <c r="I43" s="593"/>
      <c r="J43" s="592"/>
    </row>
    <row r="44" spans="1:10" ht="3" customHeight="1">
      <c r="C44" s="591"/>
      <c r="D44" s="591"/>
      <c r="E44" s="591"/>
      <c r="F44" s="592"/>
      <c r="I44" s="593"/>
      <c r="J44" s="592"/>
    </row>
    <row r="45" spans="1:10" ht="12" customHeight="1">
      <c r="A45" s="809" t="s">
        <v>3173</v>
      </c>
      <c r="C45" s="872" t="s">
        <v>1784</v>
      </c>
      <c r="I45" s="593"/>
      <c r="J45" s="592"/>
    </row>
    <row r="46" spans="1:10" ht="3" customHeight="1">
      <c r="C46" s="746"/>
      <c r="D46" s="859"/>
      <c r="I46" s="746"/>
    </row>
    <row r="47" spans="1:10" ht="12" customHeight="1">
      <c r="A47" s="809" t="s">
        <v>3174</v>
      </c>
      <c r="C47" s="860"/>
      <c r="I47" s="861"/>
      <c r="J47" s="861"/>
    </row>
    <row r="48" spans="1:10" ht="3" customHeight="1">
      <c r="D48" s="861"/>
      <c r="E48" s="861"/>
      <c r="F48" s="861"/>
      <c r="G48" s="862"/>
      <c r="H48" s="746"/>
      <c r="I48" s="861"/>
      <c r="J48" s="861"/>
    </row>
    <row r="49" spans="1:10" ht="12" customHeight="1">
      <c r="A49" s="746"/>
      <c r="B49" s="809" t="s">
        <v>3175</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3176</v>
      </c>
      <c r="B52" s="858"/>
      <c r="C52" s="863" t="s">
        <v>3177</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3178</v>
      </c>
      <c r="G54" s="746"/>
      <c r="H54" s="746"/>
      <c r="I54" s="746"/>
    </row>
    <row r="55" spans="1:10" ht="18" customHeight="1">
      <c r="A55" s="809" t="s">
        <v>3179</v>
      </c>
      <c r="C55" s="852" t="str">
        <f>Overview!C10</f>
        <v>Sparrow Pointe Housing GP, LLC</v>
      </c>
      <c r="G55" s="746"/>
      <c r="I55" s="746"/>
    </row>
    <row r="56" spans="1:10" ht="3" customHeight="1">
      <c r="C56" s="852"/>
      <c r="G56" s="746"/>
      <c r="I56" s="746"/>
    </row>
    <row r="57" spans="1:10" ht="12" customHeight="1">
      <c r="A57" s="809" t="s">
        <v>3180</v>
      </c>
      <c r="C57" s="852" t="str">
        <f>Overview!C11</f>
        <v/>
      </c>
      <c r="E57" s="852" t="str">
        <f>Overview!E11</f>
        <v/>
      </c>
      <c r="G57" s="746"/>
      <c r="I57" s="746"/>
    </row>
    <row r="58" spans="1:10" ht="3" customHeight="1">
      <c r="C58" s="852"/>
      <c r="G58" s="746"/>
      <c r="I58" s="746"/>
    </row>
    <row r="59" spans="1:10" ht="12" customHeight="1">
      <c r="A59" s="809" t="s">
        <v>3181</v>
      </c>
      <c r="C59" s="852" t="s">
        <v>2841</v>
      </c>
      <c r="G59" s="746"/>
      <c r="I59" s="746"/>
    </row>
    <row r="60" spans="1:10" ht="6" customHeight="1">
      <c r="G60" s="746"/>
      <c r="H60" s="746"/>
      <c r="I60" s="746"/>
    </row>
    <row r="61" spans="1:10" ht="12" customHeight="1">
      <c r="A61" s="850" t="s">
        <v>3182</v>
      </c>
      <c r="G61" s="746"/>
      <c r="H61" s="746"/>
      <c r="I61" s="746"/>
    </row>
    <row r="62" spans="1:10" ht="12" customHeight="1">
      <c r="A62" s="809" t="s">
        <v>3183</v>
      </c>
      <c r="C62" s="809" t="s">
        <v>3184</v>
      </c>
      <c r="D62" s="1422">
        <f>'Preview term'!F30</f>
        <v>6862941</v>
      </c>
      <c r="G62" s="746"/>
      <c r="I62" s="746"/>
    </row>
    <row r="63" spans="1:10" ht="3" customHeight="1">
      <c r="D63" s="864"/>
      <c r="G63" s="746"/>
      <c r="H63" s="865"/>
      <c r="I63" s="746"/>
    </row>
    <row r="64" spans="1:10" ht="12" customHeight="1">
      <c r="A64" s="809" t="s">
        <v>3185</v>
      </c>
      <c r="C64" s="809" t="s">
        <v>3187</v>
      </c>
      <c r="D64" s="852" t="s">
        <v>979</v>
      </c>
      <c r="G64" s="746"/>
      <c r="I64" s="746"/>
    </row>
    <row r="65" spans="1:10" ht="3" customHeight="1">
      <c r="D65" s="864"/>
      <c r="G65" s="746"/>
      <c r="H65" s="746"/>
      <c r="I65" s="746"/>
    </row>
    <row r="66" spans="1:10" ht="12" customHeight="1">
      <c r="A66" s="809" t="s">
        <v>3188</v>
      </c>
      <c r="C66" s="1423" t="s">
        <v>1784</v>
      </c>
      <c r="D66" s="878"/>
      <c r="I66" s="746"/>
    </row>
    <row r="67" spans="1:10" ht="12" customHeight="1">
      <c r="C67" s="809" t="s">
        <v>3189</v>
      </c>
      <c r="D67" s="1472" t="s">
        <v>1784</v>
      </c>
      <c r="I67" s="746"/>
    </row>
    <row r="68" spans="1:10" ht="12" customHeight="1">
      <c r="C68" s="809" t="s">
        <v>3155</v>
      </c>
      <c r="D68" s="2273"/>
      <c r="E68" s="2273"/>
      <c r="F68" s="2273"/>
      <c r="G68" s="2273"/>
      <c r="H68" s="2273"/>
      <c r="I68" s="2273"/>
      <c r="J68" s="2273"/>
    </row>
    <row r="69" spans="1:10" ht="3" customHeight="1">
      <c r="D69" s="864"/>
      <c r="E69" s="746"/>
      <c r="F69" s="746"/>
      <c r="I69" s="746"/>
    </row>
    <row r="70" spans="1:10" ht="12" customHeight="1">
      <c r="A70" s="809" t="s">
        <v>3190</v>
      </c>
      <c r="C70" s="809" t="s">
        <v>2424</v>
      </c>
      <c r="D70" s="872" t="s">
        <v>1784</v>
      </c>
      <c r="I70" s="746"/>
    </row>
    <row r="71" spans="1:10" ht="3" customHeight="1">
      <c r="D71" s="746"/>
      <c r="E71" s="746"/>
      <c r="I71" s="746"/>
    </row>
    <row r="72" spans="1:10" ht="12" customHeight="1">
      <c r="A72" s="809" t="s">
        <v>3191</v>
      </c>
      <c r="C72" s="1423" t="s">
        <v>1784</v>
      </c>
      <c r="I72" s="746"/>
    </row>
    <row r="73" spans="1:10" ht="3" customHeight="1">
      <c r="C73" s="864"/>
      <c r="G73" s="866"/>
      <c r="H73" s="746"/>
      <c r="I73" s="746"/>
    </row>
    <row r="74" spans="1:10" ht="12" customHeight="1">
      <c r="A74" s="809" t="s">
        <v>3192</v>
      </c>
      <c r="C74" s="864" t="s">
        <v>3193</v>
      </c>
      <c r="D74" s="1425">
        <v>0</v>
      </c>
      <c r="J74" s="746"/>
    </row>
    <row r="75" spans="1:10" ht="12" customHeight="1">
      <c r="C75" s="867" t="s">
        <v>3351</v>
      </c>
      <c r="D75" s="1426">
        <v>0.01</v>
      </c>
      <c r="J75" s="746"/>
    </row>
    <row r="76" spans="1:10" ht="3" customHeight="1">
      <c r="C76" s="864"/>
      <c r="D76" s="864"/>
      <c r="G76" s="746"/>
      <c r="H76" s="746"/>
      <c r="I76" s="746"/>
    </row>
    <row r="77" spans="1:10" ht="12" customHeight="1">
      <c r="A77" s="809" t="s">
        <v>3194</v>
      </c>
      <c r="C77" s="864" t="s">
        <v>3584</v>
      </c>
      <c r="D77" s="869">
        <v>24</v>
      </c>
      <c r="I77" s="746"/>
    </row>
    <row r="78" spans="1:10" ht="3" customHeight="1">
      <c r="D78" s="864"/>
      <c r="E78" s="746"/>
      <c r="F78" s="746"/>
      <c r="I78" s="746"/>
    </row>
    <row r="79" spans="1:10" ht="12" customHeight="1">
      <c r="A79" s="809" t="s">
        <v>3195</v>
      </c>
      <c r="C79" s="809" t="s">
        <v>2424</v>
      </c>
      <c r="D79" s="870">
        <f>'Preview term'!F39</f>
        <v>0</v>
      </c>
      <c r="E79" s="746" t="s">
        <v>3538</v>
      </c>
      <c r="I79" s="746"/>
    </row>
    <row r="80" spans="1:10" ht="3" customHeight="1">
      <c r="D80" s="864"/>
      <c r="G80" s="746"/>
      <c r="H80" s="746"/>
      <c r="I80" s="746"/>
    </row>
    <row r="81" spans="1:9" ht="12" customHeight="1">
      <c r="A81" s="809" t="s">
        <v>3196</v>
      </c>
      <c r="D81" s="1424">
        <v>0</v>
      </c>
      <c r="E81" s="871">
        <f>D81*12</f>
        <v>0</v>
      </c>
      <c r="F81" s="746" t="s">
        <v>3585</v>
      </c>
    </row>
    <row r="82" spans="1:9" ht="3" customHeight="1">
      <c r="D82" s="852"/>
      <c r="E82" s="746"/>
      <c r="G82" s="746"/>
    </row>
    <row r="83" spans="1:9" ht="12" customHeight="1">
      <c r="A83" s="809" t="s">
        <v>3197</v>
      </c>
      <c r="D83" s="1472" t="s">
        <v>979</v>
      </c>
      <c r="E83" s="746" t="s">
        <v>3198</v>
      </c>
      <c r="G83" s="746"/>
    </row>
    <row r="84" spans="1:9" ht="3" customHeight="1">
      <c r="G84" s="746"/>
      <c r="H84" s="746"/>
      <c r="I84" s="746"/>
    </row>
    <row r="85" spans="1:9" ht="12" customHeight="1">
      <c r="A85" s="809" t="s">
        <v>3199</v>
      </c>
      <c r="C85" s="1422" t="str">
        <f>'Part VII-Pro Forma'!K67</f>
        <v/>
      </c>
      <c r="D85" s="873" t="s">
        <v>3536</v>
      </c>
      <c r="I85" s="746"/>
    </row>
    <row r="86" spans="1:9" ht="3" customHeight="1">
      <c r="C86" s="746" t="s">
        <v>1784</v>
      </c>
      <c r="D86" s="746"/>
      <c r="E86" s="746"/>
      <c r="I86" s="746"/>
    </row>
    <row r="87" spans="1:9" ht="12" customHeight="1">
      <c r="A87" s="809" t="s">
        <v>3200</v>
      </c>
      <c r="B87" s="874"/>
      <c r="C87" s="1423" t="s">
        <v>1784</v>
      </c>
      <c r="D87" s="1428"/>
      <c r="I87" s="746"/>
    </row>
    <row r="88" spans="1:9" ht="3" customHeight="1">
      <c r="G88" s="746"/>
      <c r="H88" s="746"/>
      <c r="I88" s="746"/>
    </row>
    <row r="89" spans="1:9" ht="12" customHeight="1">
      <c r="A89" s="809" t="s">
        <v>3201</v>
      </c>
      <c r="C89" s="864" t="s">
        <v>3202</v>
      </c>
      <c r="D89" s="852" t="s">
        <v>3131</v>
      </c>
      <c r="I89" s="746"/>
    </row>
    <row r="90" spans="1:9" ht="12" customHeight="1">
      <c r="C90" s="864" t="s">
        <v>3203</v>
      </c>
      <c r="D90" s="852" t="s">
        <v>979</v>
      </c>
      <c r="I90" s="746"/>
    </row>
    <row r="91" spans="1:9" ht="3" customHeight="1">
      <c r="G91" s="746"/>
      <c r="H91" s="746"/>
      <c r="I91" s="746"/>
    </row>
    <row r="92" spans="1:9" ht="12" customHeight="1">
      <c r="A92" s="809" t="s">
        <v>3204</v>
      </c>
      <c r="C92" s="864" t="s">
        <v>3193</v>
      </c>
      <c r="D92" s="746" t="s">
        <v>3205</v>
      </c>
      <c r="E92" s="864" t="str">
        <f>'Part III-Sources of Funds'!H19</f>
        <v>Sterling Bank</v>
      </c>
      <c r="I92" s="746"/>
    </row>
    <row r="93" spans="1:9" ht="12" customHeight="1">
      <c r="C93" s="878"/>
      <c r="D93" s="746"/>
      <c r="E93" s="864" t="s">
        <v>1810</v>
      </c>
      <c r="F93" s="2268"/>
      <c r="G93" s="2268"/>
      <c r="H93" s="2268"/>
      <c r="I93" s="746"/>
    </row>
    <row r="94" spans="1:9" ht="12" customHeight="1">
      <c r="C94" s="864"/>
      <c r="D94" s="746"/>
      <c r="E94" s="864" t="s">
        <v>1997</v>
      </c>
      <c r="F94" s="2269"/>
      <c r="G94" s="2269"/>
      <c r="H94" s="2269"/>
      <c r="I94" s="746"/>
    </row>
    <row r="95" spans="1:9" ht="12" customHeight="1">
      <c r="C95" s="864"/>
      <c r="D95" s="746"/>
      <c r="E95" s="864" t="s">
        <v>1813</v>
      </c>
      <c r="F95" s="2270"/>
      <c r="G95" s="2270"/>
      <c r="H95" s="2270"/>
      <c r="I95" s="746"/>
    </row>
    <row r="96" spans="1:9" ht="12" customHeight="1">
      <c r="B96" s="854"/>
      <c r="C96" s="867" t="s">
        <v>3351</v>
      </c>
      <c r="D96" s="746" t="s">
        <v>3205</v>
      </c>
      <c r="E96" s="864">
        <f>'Part III-Sources of Funds'!E37</f>
        <v>0</v>
      </c>
      <c r="I96" s="746"/>
    </row>
    <row r="97" spans="1:10" ht="12" customHeight="1">
      <c r="C97" s="864"/>
      <c r="D97" s="746"/>
      <c r="E97" s="864" t="s">
        <v>1810</v>
      </c>
      <c r="F97" s="2268"/>
      <c r="G97" s="2268"/>
      <c r="H97" s="2268"/>
      <c r="I97" s="746"/>
    </row>
    <row r="98" spans="1:10" ht="12" customHeight="1">
      <c r="C98" s="864"/>
      <c r="D98" s="746"/>
      <c r="E98" s="864" t="s">
        <v>1997</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3206</v>
      </c>
      <c r="D101" s="1472" t="str">
        <f>'Part IX A-Scoring Criteria'!O318</f>
        <v>Yes</v>
      </c>
      <c r="E101" s="746" t="s">
        <v>3186</v>
      </c>
      <c r="G101" s="809">
        <f>'Part IX A-Scoring Criteria'!O316</f>
        <v>1</v>
      </c>
      <c r="H101" s="809" t="s">
        <v>3537</v>
      </c>
      <c r="I101" s="746"/>
    </row>
    <row r="102" spans="1:10" ht="3" customHeight="1">
      <c r="E102" s="746"/>
      <c r="F102" s="746"/>
      <c r="I102" s="746"/>
    </row>
    <row r="103" spans="1:10" ht="12" customHeight="1">
      <c r="A103" s="746" t="s">
        <v>3352</v>
      </c>
      <c r="D103" s="809" t="s">
        <v>979</v>
      </c>
      <c r="E103" s="746"/>
      <c r="I103" s="746"/>
    </row>
    <row r="104" spans="1:10" ht="6" customHeight="1">
      <c r="G104" s="746"/>
      <c r="H104" s="746"/>
      <c r="I104" s="746"/>
    </row>
    <row r="105" spans="1:10" ht="12" customHeight="1">
      <c r="A105" s="850" t="s">
        <v>3353</v>
      </c>
      <c r="I105" s="746"/>
    </row>
    <row r="106" spans="1:10" ht="12" customHeight="1">
      <c r="A106" s="809" t="s">
        <v>3207</v>
      </c>
      <c r="C106" s="1427" t="s">
        <v>1784</v>
      </c>
      <c r="D106" s="2271"/>
      <c r="E106" s="2271"/>
      <c r="F106" s="2271"/>
      <c r="G106" s="2271"/>
      <c r="H106" s="2271"/>
      <c r="I106" s="2271"/>
      <c r="J106" s="2272"/>
    </row>
    <row r="107" spans="1:10" ht="3" customHeight="1">
      <c r="C107" s="864"/>
      <c r="D107" s="746"/>
      <c r="I107" s="746"/>
    </row>
    <row r="108" spans="1:10" ht="12" customHeight="1">
      <c r="A108" s="809" t="s">
        <v>3208</v>
      </c>
      <c r="C108" s="1472" t="s">
        <v>1784</v>
      </c>
    </row>
    <row r="109" spans="1:10" ht="3" customHeight="1">
      <c r="C109" s="864"/>
      <c r="E109" s="746"/>
      <c r="F109" s="746"/>
      <c r="I109" s="746"/>
    </row>
    <row r="110" spans="1:10" ht="12" customHeight="1">
      <c r="A110" s="809" t="s">
        <v>3209</v>
      </c>
      <c r="C110" s="1472" t="s">
        <v>1784</v>
      </c>
      <c r="I110" s="746"/>
    </row>
    <row r="111" spans="1:10" ht="3" customHeight="1">
      <c r="D111" s="857"/>
      <c r="I111" s="746"/>
    </row>
    <row r="112" spans="1:10" ht="12" customHeight="1">
      <c r="A112" s="809" t="s">
        <v>3210</v>
      </c>
      <c r="D112" s="870">
        <v>24</v>
      </c>
      <c r="E112" s="746" t="s">
        <v>3211</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3212</v>
      </c>
      <c r="D116" s="876">
        <v>0</v>
      </c>
      <c r="E116" s="877" t="s">
        <v>3213</v>
      </c>
      <c r="I116" s="746"/>
    </row>
    <row r="117" spans="1:10" ht="3" customHeight="1">
      <c r="D117" s="864"/>
      <c r="E117" s="746"/>
      <c r="F117" s="746"/>
      <c r="I117" s="746"/>
    </row>
    <row r="118" spans="1:10" ht="12" customHeight="1">
      <c r="A118" s="809" t="s">
        <v>3214</v>
      </c>
      <c r="C118" s="1423" t="s">
        <v>1784</v>
      </c>
      <c r="D118" s="878"/>
      <c r="I118" s="746"/>
    </row>
    <row r="119" spans="1:10" ht="12" customHeight="1">
      <c r="C119" s="746" t="s">
        <v>3215</v>
      </c>
      <c r="D119" s="868"/>
      <c r="E119" s="2275" t="s">
        <v>4323</v>
      </c>
      <c r="F119" s="2275"/>
      <c r="G119" s="2275"/>
      <c r="H119" s="2275"/>
      <c r="I119" s="2275"/>
      <c r="J119" s="2275"/>
    </row>
    <row r="120" spans="1:10" ht="12" customHeight="1">
      <c r="C120" s="746" t="s">
        <v>3216</v>
      </c>
      <c r="D120" s="1429"/>
      <c r="E120" s="2275"/>
      <c r="F120" s="2275"/>
      <c r="G120" s="2275"/>
      <c r="H120" s="2275"/>
      <c r="I120" s="2275"/>
      <c r="J120" s="2275"/>
    </row>
    <row r="121" spans="1:10" ht="12" customHeight="1">
      <c r="C121" s="746" t="s">
        <v>3217</v>
      </c>
      <c r="D121" s="1429"/>
      <c r="E121" s="2275"/>
      <c r="F121" s="2275"/>
      <c r="G121" s="2275"/>
      <c r="H121" s="2275"/>
      <c r="I121" s="2275"/>
      <c r="J121" s="2275"/>
    </row>
    <row r="122" spans="1:10" ht="3" customHeight="1">
      <c r="E122" s="746"/>
      <c r="F122" s="746"/>
      <c r="I122" s="746"/>
    </row>
    <row r="123" spans="1:10" ht="12" customHeight="1">
      <c r="A123" s="809" t="s">
        <v>3218</v>
      </c>
      <c r="D123" s="879" t="s">
        <v>3186</v>
      </c>
      <c r="I123" s="746"/>
    </row>
    <row r="124" spans="1:10" ht="3" customHeight="1">
      <c r="D124" s="746"/>
      <c r="I124" s="746"/>
    </row>
    <row r="125" spans="1:10" ht="12" customHeight="1">
      <c r="A125" s="809" t="s">
        <v>3219</v>
      </c>
      <c r="D125" s="746" t="s">
        <v>3186</v>
      </c>
      <c r="I125" s="746"/>
    </row>
    <row r="126" spans="1:10" ht="3" customHeight="1">
      <c r="G126" s="746"/>
      <c r="H126" s="746"/>
      <c r="I126" s="746"/>
    </row>
    <row r="127" spans="1:10" ht="12" customHeight="1">
      <c r="A127" s="809" t="s">
        <v>3220</v>
      </c>
      <c r="D127" s="746" t="s">
        <v>3221</v>
      </c>
      <c r="G127" s="746"/>
      <c r="I127" s="746"/>
    </row>
    <row r="128" spans="1:10" ht="7.5" customHeight="1">
      <c r="G128" s="746"/>
      <c r="H128" s="746"/>
      <c r="I128" s="746"/>
    </row>
    <row r="129" spans="1:10" ht="12" customHeight="1">
      <c r="A129" s="850" t="s">
        <v>3222</v>
      </c>
      <c r="G129" s="746"/>
      <c r="H129" s="746"/>
      <c r="I129" s="746"/>
    </row>
    <row r="130" spans="1:10" ht="12" customHeight="1">
      <c r="A130" s="809" t="s">
        <v>3223</v>
      </c>
      <c r="C130" s="852" t="str">
        <f>Overview!H11</f>
        <v>DDER Development,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3224</v>
      </c>
      <c r="C133" s="880">
        <f>('Part IV-A-Uses of Funds'!G118-'Part III-Sources of Funds'!I42)/2</f>
        <v>622142.5</v>
      </c>
      <c r="G133" s="746"/>
      <c r="I133" s="746"/>
    </row>
    <row r="134" spans="1:10" ht="3" customHeight="1">
      <c r="C134" s="746"/>
      <c r="G134" s="746"/>
      <c r="I134" s="746"/>
    </row>
    <row r="135" spans="1:10" ht="12" customHeight="1">
      <c r="A135" s="809" t="s">
        <v>3225</v>
      </c>
      <c r="C135" s="1472" t="s">
        <v>3226</v>
      </c>
      <c r="G135" s="746"/>
      <c r="I135" s="746"/>
    </row>
    <row r="136" spans="1:10" ht="3" customHeight="1">
      <c r="C136" s="852"/>
      <c r="G136" s="746"/>
      <c r="I136" s="746"/>
    </row>
    <row r="137" spans="1:10" ht="12" customHeight="1">
      <c r="A137" s="809" t="s">
        <v>3227</v>
      </c>
      <c r="C137" s="852" t="str">
        <f>'Preview term'!E19</f>
        <v>Fairway Management, Inc.</v>
      </c>
      <c r="G137" s="746"/>
      <c r="I137" s="746"/>
      <c r="J137" s="881"/>
    </row>
    <row r="138" spans="1:10" ht="3" customHeight="1">
      <c r="C138" s="852"/>
      <c r="G138" s="746"/>
      <c r="I138" s="746"/>
    </row>
    <row r="139" spans="1:10" ht="12" customHeight="1">
      <c r="A139" s="809" t="s">
        <v>3228</v>
      </c>
      <c r="C139" s="853" t="str">
        <f>C8</f>
        <v>Sparrow Pointe Housing, LP</v>
      </c>
      <c r="G139" s="746"/>
      <c r="I139" s="851"/>
      <c r="J139" s="882"/>
    </row>
    <row r="140" spans="1:10" ht="3" customHeight="1">
      <c r="C140" s="853"/>
      <c r="G140" s="746"/>
      <c r="I140" s="851"/>
      <c r="J140" s="882"/>
    </row>
    <row r="141" spans="1:10" ht="12" customHeight="1">
      <c r="A141" s="809" t="s">
        <v>3229</v>
      </c>
      <c r="C141" s="853" t="str">
        <f>C18</f>
        <v>1631 E. Vine Street, Suite 300</v>
      </c>
      <c r="G141" s="746"/>
      <c r="I141" s="851"/>
      <c r="J141" s="882"/>
    </row>
    <row r="142" spans="1:10">
      <c r="C142" s="853" t="str">
        <f>C19</f>
        <v>Kissimmee, FL 34744</v>
      </c>
      <c r="G142" s="746"/>
      <c r="I142" s="851"/>
      <c r="J142" s="882"/>
    </row>
    <row r="143" spans="1:10" ht="3" customHeight="1">
      <c r="C143" s="883"/>
      <c r="G143" s="746"/>
      <c r="I143" s="851"/>
      <c r="J143" s="882"/>
    </row>
    <row r="144" spans="1:10" ht="12" customHeight="1">
      <c r="A144" s="809" t="s">
        <v>3230</v>
      </c>
      <c r="C144" s="853" t="str">
        <f>Overview!H10</f>
        <v>Affordable Equity Partners</v>
      </c>
      <c r="G144" s="746"/>
      <c r="I144" s="851"/>
      <c r="J144" s="881"/>
    </row>
    <row r="145" spans="1:10" ht="3" customHeight="1">
      <c r="C145" s="853"/>
      <c r="G145" s="746"/>
      <c r="I145" s="851"/>
      <c r="J145" s="882"/>
    </row>
    <row r="146" spans="1:10" ht="12" customHeight="1">
      <c r="A146" s="809" t="s">
        <v>3231</v>
      </c>
      <c r="C146" s="853" t="str">
        <f>Overview!K10</f>
        <v>Affordable Equity Partners</v>
      </c>
      <c r="G146" s="746"/>
      <c r="I146" s="851"/>
      <c r="J146" s="881"/>
    </row>
    <row r="147" spans="1:10" ht="3" customHeight="1">
      <c r="C147" s="883"/>
      <c r="G147" s="746"/>
      <c r="I147" s="851"/>
      <c r="J147" s="882"/>
    </row>
    <row r="148" spans="1:10" ht="12" customHeight="1">
      <c r="A148" s="809" t="s">
        <v>3232</v>
      </c>
      <c r="C148" s="884" t="s">
        <v>3186</v>
      </c>
      <c r="G148" s="746"/>
      <c r="I148" s="746"/>
    </row>
    <row r="149" spans="1:10" ht="3" customHeight="1">
      <c r="C149" s="884"/>
      <c r="G149" s="746"/>
      <c r="I149" s="746"/>
    </row>
    <row r="150" spans="1:10" ht="12" customHeight="1">
      <c r="A150" s="809" t="s">
        <v>3233</v>
      </c>
      <c r="C150" s="884" t="s">
        <v>3186</v>
      </c>
      <c r="G150" s="746"/>
      <c r="I150" s="746"/>
    </row>
    <row r="151" spans="1:10" ht="7.5" customHeight="1">
      <c r="G151" s="746"/>
      <c r="H151" s="746"/>
      <c r="I151" s="746"/>
    </row>
    <row r="152" spans="1:10" ht="12" customHeight="1">
      <c r="A152" s="850" t="s">
        <v>3234</v>
      </c>
      <c r="G152" s="746"/>
      <c r="H152" s="746"/>
      <c r="I152" s="746"/>
    </row>
    <row r="153" spans="1:10" ht="3" customHeight="1">
      <c r="D153" s="746"/>
      <c r="E153" s="746"/>
      <c r="G153" s="746"/>
    </row>
    <row r="154" spans="1:10" ht="12" customHeight="1">
      <c r="A154" s="809" t="s">
        <v>3235</v>
      </c>
      <c r="C154" s="746" t="s">
        <v>3539</v>
      </c>
      <c r="D154" s="746"/>
      <c r="G154" s="746"/>
      <c r="H154" s="746"/>
      <c r="I154" s="746"/>
    </row>
    <row r="155" spans="1:10" ht="3" customHeight="1">
      <c r="D155" s="746"/>
      <c r="E155" s="746"/>
      <c r="G155" s="746"/>
    </row>
    <row r="156" spans="1:10" ht="12" customHeight="1">
      <c r="A156" s="809" t="s">
        <v>3236</v>
      </c>
      <c r="D156" s="1472">
        <v>20</v>
      </c>
      <c r="E156" s="746" t="s">
        <v>2424</v>
      </c>
    </row>
    <row r="157" spans="1:10" ht="3" customHeight="1">
      <c r="D157" s="746"/>
      <c r="E157" s="746"/>
      <c r="G157" s="746"/>
    </row>
    <row r="158" spans="1:10" ht="12" customHeight="1">
      <c r="A158" s="809" t="s">
        <v>3237</v>
      </c>
      <c r="C158" s="1423" t="s">
        <v>1784</v>
      </c>
      <c r="D158" s="746" t="s">
        <v>3586</v>
      </c>
      <c r="G158" s="746"/>
    </row>
    <row r="159" spans="1:10" ht="3" customHeight="1">
      <c r="G159" s="746"/>
      <c r="H159" s="746"/>
      <c r="I159" s="746"/>
    </row>
    <row r="160" spans="1:10" ht="12" customHeight="1">
      <c r="A160" s="809" t="s">
        <v>3238</v>
      </c>
      <c r="G160" s="746"/>
      <c r="H160" s="746"/>
      <c r="I160" s="746"/>
    </row>
    <row r="161" spans="1:13" ht="7.5" customHeight="1">
      <c r="G161" s="746"/>
      <c r="H161" s="746"/>
      <c r="I161" s="746"/>
    </row>
    <row r="162" spans="1:13" ht="12" customHeight="1">
      <c r="A162" s="850" t="s">
        <v>3239</v>
      </c>
      <c r="G162" s="746"/>
      <c r="H162" s="746"/>
      <c r="I162" s="746"/>
    </row>
    <row r="163" spans="1:13" ht="12" customHeight="1">
      <c r="A163" s="809" t="s">
        <v>3343</v>
      </c>
      <c r="C163" s="809" t="s">
        <v>3344</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3240</v>
      </c>
      <c r="C166" s="809" t="s">
        <v>3241</v>
      </c>
      <c r="E166" s="885">
        <f>'Preview term'!F71</f>
        <v>106125</v>
      </c>
      <c r="G166" s="746"/>
      <c r="I166" s="746"/>
    </row>
    <row r="167" spans="1:13" ht="12" customHeight="1">
      <c r="C167" s="809" t="s">
        <v>3540</v>
      </c>
      <c r="E167" s="2273"/>
      <c r="F167" s="2273"/>
      <c r="G167" s="2273"/>
      <c r="I167" s="746"/>
    </row>
    <row r="168" spans="1:13" ht="12" customHeight="1">
      <c r="C168" s="809" t="s">
        <v>3242</v>
      </c>
      <c r="E168" s="852" t="s">
        <v>2841</v>
      </c>
      <c r="G168" s="746"/>
      <c r="I168" s="746"/>
    </row>
    <row r="169" spans="1:13" ht="3" customHeight="1">
      <c r="E169" s="852"/>
      <c r="G169" s="746"/>
      <c r="I169" s="746"/>
    </row>
    <row r="170" spans="1:13" ht="12" customHeight="1">
      <c r="A170" s="809" t="s">
        <v>3345</v>
      </c>
      <c r="C170" s="809" t="s">
        <v>3346</v>
      </c>
      <c r="E170" s="885">
        <f>'Preview term'!F73</f>
        <v>0</v>
      </c>
      <c r="G170" s="746"/>
      <c r="I170" s="746"/>
    </row>
    <row r="171" spans="1:13" ht="12" customHeight="1">
      <c r="C171" s="809" t="s">
        <v>3243</v>
      </c>
      <c r="E171" s="885">
        <f>'Preview term'!F73</f>
        <v>0</v>
      </c>
      <c r="G171" s="746"/>
      <c r="I171" s="851"/>
      <c r="J171" s="882"/>
      <c r="K171" s="882"/>
      <c r="L171" s="882"/>
      <c r="M171" s="882"/>
    </row>
    <row r="172" spans="1:13" ht="12" customHeight="1">
      <c r="C172" s="809" t="s">
        <v>3244</v>
      </c>
      <c r="E172" s="880">
        <f>'Part VI-Revenues &amp; Expenses'!P179</f>
        <v>12500</v>
      </c>
      <c r="F172" s="851" t="s">
        <v>3245</v>
      </c>
      <c r="J172" s="882"/>
      <c r="K172" s="882"/>
      <c r="L172" s="882"/>
      <c r="M172" s="882"/>
    </row>
    <row r="173" spans="1:13">
      <c r="E173" s="885">
        <f>E172/12</f>
        <v>1041.6666666666667</v>
      </c>
      <c r="F173" s="746" t="s">
        <v>3097</v>
      </c>
    </row>
    <row r="174" spans="1:13" ht="12" customHeight="1">
      <c r="C174" s="809" t="s">
        <v>3541</v>
      </c>
      <c r="E174" s="2273"/>
      <c r="F174" s="2273"/>
      <c r="G174" s="2273"/>
      <c r="I174" s="746"/>
    </row>
    <row r="175" spans="1:13" ht="12" customHeight="1">
      <c r="C175" s="809" t="s">
        <v>3246</v>
      </c>
      <c r="E175" s="746" t="s">
        <v>3009</v>
      </c>
      <c r="I175" s="746"/>
    </row>
    <row r="176" spans="1:13" ht="12" customHeight="1">
      <c r="C176" s="809" t="s">
        <v>3247</v>
      </c>
      <c r="E176" s="746" t="s">
        <v>2841</v>
      </c>
      <c r="I176" s="746"/>
    </row>
    <row r="177" spans="1:10" ht="3" customHeight="1">
      <c r="E177" s="746"/>
      <c r="F177" s="746"/>
      <c r="I177" s="746"/>
    </row>
    <row r="178" spans="1:10" ht="12" customHeight="1">
      <c r="A178" s="809" t="s">
        <v>3341</v>
      </c>
      <c r="C178" s="809" t="s">
        <v>3342</v>
      </c>
      <c r="E178" s="872" t="s">
        <v>1784</v>
      </c>
      <c r="F178" s="886"/>
      <c r="I178" s="746"/>
    </row>
    <row r="179" spans="1:10" ht="12" customHeight="1">
      <c r="C179" s="809" t="s">
        <v>3248</v>
      </c>
      <c r="E179" s="872" t="s">
        <v>1784</v>
      </c>
      <c r="F179" s="2273"/>
      <c r="G179" s="2273"/>
      <c r="H179" s="2273"/>
      <c r="I179" s="2273"/>
      <c r="J179" s="2273"/>
    </row>
    <row r="180" spans="1:10" ht="12" customHeight="1">
      <c r="C180" s="809" t="s">
        <v>3542</v>
      </c>
      <c r="E180" s="746" t="s">
        <v>3186</v>
      </c>
      <c r="I180" s="746"/>
    </row>
    <row r="181" spans="1:10" ht="12" customHeight="1">
      <c r="C181" s="809" t="s">
        <v>3249</v>
      </c>
      <c r="E181" s="746" t="s">
        <v>2841</v>
      </c>
      <c r="I181" s="746"/>
    </row>
    <row r="182" spans="1:10" ht="3" customHeight="1">
      <c r="G182" s="746"/>
      <c r="H182" s="746"/>
      <c r="I182" s="746"/>
    </row>
    <row r="183" spans="1:10" ht="12" customHeight="1">
      <c r="A183" s="809" t="s">
        <v>3347</v>
      </c>
      <c r="C183" s="809" t="s">
        <v>3348</v>
      </c>
      <c r="E183" s="885">
        <f>'Preview term'!F75</f>
        <v>53063</v>
      </c>
      <c r="G183" s="746"/>
      <c r="I183" s="746"/>
    </row>
    <row r="184" spans="1:10" ht="12" customHeight="1">
      <c r="C184" s="809" t="s">
        <v>3540</v>
      </c>
      <c r="E184" s="852">
        <f>E167</f>
        <v>0</v>
      </c>
      <c r="G184" s="746"/>
      <c r="I184" s="746"/>
    </row>
    <row r="185" spans="1:10" ht="12" customHeight="1">
      <c r="C185" s="809" t="s">
        <v>3250</v>
      </c>
      <c r="E185" s="852" t="s">
        <v>3186</v>
      </c>
      <c r="G185" s="746"/>
      <c r="I185" s="746"/>
    </row>
    <row r="186" spans="1:10" ht="3" customHeight="1">
      <c r="E186" s="852"/>
      <c r="G186" s="746"/>
      <c r="I186" s="746"/>
    </row>
    <row r="187" spans="1:10" ht="12" customHeight="1">
      <c r="A187" s="809" t="s">
        <v>3349</v>
      </c>
      <c r="C187" s="809" t="s">
        <v>3350</v>
      </c>
      <c r="E187" s="852" t="s">
        <v>3186</v>
      </c>
      <c r="G187" s="746"/>
      <c r="I187" s="746"/>
    </row>
    <row r="188" spans="1:10" ht="12" customHeight="1">
      <c r="C188" s="809" t="s">
        <v>3241</v>
      </c>
      <c r="E188" s="864"/>
      <c r="G188" s="746"/>
      <c r="H188" s="871"/>
      <c r="I188" s="746"/>
    </row>
    <row r="189" spans="1:10" ht="12" customHeight="1">
      <c r="C189" s="809" t="s">
        <v>3540</v>
      </c>
      <c r="E189" s="864"/>
      <c r="I189" s="852"/>
    </row>
    <row r="190" spans="1:10" ht="12" customHeight="1">
      <c r="C190" s="809" t="s">
        <v>3242</v>
      </c>
      <c r="E190" s="864"/>
      <c r="G190" s="746"/>
      <c r="H190" s="746"/>
      <c r="I190" s="746"/>
    </row>
    <row r="191" spans="1:10" ht="9" customHeight="1">
      <c r="G191" s="746"/>
      <c r="H191" s="746"/>
      <c r="I191" s="746"/>
    </row>
    <row r="192" spans="1:10" ht="12" customHeight="1">
      <c r="A192" s="850" t="s">
        <v>3251</v>
      </c>
      <c r="C192" s="746" t="s">
        <v>3252</v>
      </c>
      <c r="E192" s="746"/>
      <c r="I192" s="746"/>
    </row>
    <row r="193" spans="1:10" ht="9" customHeight="1">
      <c r="E193" s="746"/>
      <c r="F193" s="746"/>
      <c r="I193" s="746"/>
    </row>
    <row r="194" spans="1:10" ht="12" customHeight="1">
      <c r="A194" s="850" t="s">
        <v>3253</v>
      </c>
      <c r="E194" s="746"/>
      <c r="F194" s="746"/>
      <c r="I194" s="746"/>
    </row>
    <row r="195" spans="1:10" ht="12" customHeight="1">
      <c r="A195" s="809" t="s">
        <v>3254</v>
      </c>
      <c r="C195" s="1419" t="s">
        <v>1784</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3340</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3255</v>
      </c>
      <c r="G202" s="746"/>
      <c r="H202" s="746"/>
      <c r="I202" s="746"/>
    </row>
    <row r="203" spans="1:10" ht="3" customHeight="1">
      <c r="G203" s="746"/>
      <c r="H203" s="746"/>
      <c r="I203" s="746"/>
    </row>
    <row r="204" spans="1:10" ht="76.5" customHeight="1">
      <c r="A204" s="2266" t="s">
        <v>2962</v>
      </c>
      <c r="B204" s="2266"/>
      <c r="C204" s="2266"/>
      <c r="D204" s="2266"/>
      <c r="E204" s="2266"/>
      <c r="F204" s="2266"/>
      <c r="G204" s="2266"/>
      <c r="H204" s="2266"/>
      <c r="I204" s="2266"/>
      <c r="J204" s="2266"/>
    </row>
    <row r="205" spans="1:10">
      <c r="A205" s="746" t="s">
        <v>2963</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3256</v>
      </c>
      <c r="H1" s="854" t="str">
        <f>Overview!C8</f>
        <v>Sparrow Pointe at Forest Hill</v>
      </c>
    </row>
    <row r="2" spans="1:11">
      <c r="A2" s="746" t="s">
        <v>3257</v>
      </c>
      <c r="H2" s="809" t="str">
        <f>Overview!E8</f>
        <v>2018-030</v>
      </c>
    </row>
    <row r="3" spans="1:11" ht="3" customHeight="1"/>
    <row r="4" spans="1:11" ht="51.75" customHeight="1">
      <c r="A4" s="2267" t="s">
        <v>3357</v>
      </c>
      <c r="B4" s="2267"/>
      <c r="C4" s="2267"/>
      <c r="D4" s="2267"/>
      <c r="E4" s="2267"/>
      <c r="F4" s="2267"/>
      <c r="G4" s="2267"/>
      <c r="H4" s="2267"/>
      <c r="J4" s="1444">
        <f>SUM('Part VII-Pro Forma'!B14:B16)/12</f>
        <v>23678.9532</v>
      </c>
      <c r="K4" s="1443" t="s">
        <v>4530</v>
      </c>
    </row>
    <row r="5" spans="1:11" ht="1.5" customHeight="1">
      <c r="C5" s="888"/>
      <c r="D5" s="888"/>
      <c r="E5" s="888"/>
      <c r="F5" s="888"/>
      <c r="G5" s="888"/>
      <c r="H5" s="888"/>
    </row>
    <row r="6" spans="1:11" ht="12.75" customHeight="1">
      <c r="B6" s="889" t="s">
        <v>2450</v>
      </c>
      <c r="C6" s="2267" t="s">
        <v>3258</v>
      </c>
      <c r="D6" s="2267"/>
      <c r="E6" s="2267"/>
      <c r="F6" s="2267"/>
      <c r="G6" s="2267"/>
      <c r="H6" s="2267"/>
    </row>
    <row r="7" spans="1:11" ht="12.75" customHeight="1">
      <c r="B7" s="889" t="s">
        <v>2451</v>
      </c>
      <c r="C7" s="2267" t="s">
        <v>3259</v>
      </c>
      <c r="D7" s="2267"/>
      <c r="E7" s="2267"/>
      <c r="F7" s="2267"/>
      <c r="G7" s="2267"/>
      <c r="H7" s="2267"/>
    </row>
    <row r="8" spans="1:11" ht="3" customHeight="1"/>
    <row r="9" spans="1:11">
      <c r="A9" s="809" t="s">
        <v>3260</v>
      </c>
    </row>
    <row r="10" spans="1:11" ht="1.5" customHeight="1"/>
    <row r="11" spans="1:11" ht="26.25" customHeight="1">
      <c r="A11" s="890" t="s">
        <v>1998</v>
      </c>
      <c r="B11" s="2286" t="s">
        <v>3354</v>
      </c>
      <c r="C11" s="2286"/>
      <c r="D11" s="2286"/>
      <c r="E11" s="2286"/>
      <c r="F11" s="2286"/>
      <c r="G11" s="2287">
        <f>'Part III-Sources of Funds'!I49+'Part III-Sources of Funds'!I50</f>
        <v>10113572</v>
      </c>
      <c r="H11" s="2287"/>
    </row>
    <row r="12" spans="1:11" ht="1.5" customHeight="1">
      <c r="G12" s="858"/>
      <c r="H12" s="858"/>
    </row>
    <row r="13" spans="1:11" ht="26.25" customHeight="1">
      <c r="A13" s="890" t="s">
        <v>2000</v>
      </c>
      <c r="B13" s="2286" t="s">
        <v>3355</v>
      </c>
      <c r="C13" s="2286"/>
      <c r="D13" s="2286"/>
      <c r="E13" s="2286"/>
      <c r="F13" s="2286"/>
      <c r="G13" s="2288" t="s">
        <v>3186</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3359</v>
      </c>
      <c r="F16" s="882"/>
      <c r="G16" s="2264" t="s">
        <v>3012</v>
      </c>
      <c r="H16" s="2264"/>
    </row>
    <row r="17" spans="1:8" ht="1.5" customHeight="1">
      <c r="G17" s="864"/>
    </row>
    <row r="18" spans="1:8" ht="12" customHeight="1">
      <c r="A18" s="890" t="s">
        <v>2130</v>
      </c>
      <c r="B18" s="858" t="s">
        <v>3356</v>
      </c>
      <c r="C18" s="890"/>
      <c r="D18" s="890"/>
      <c r="E18" s="890"/>
      <c r="G18" s="2281" t="s">
        <v>2841</v>
      </c>
      <c r="H18" s="2281"/>
    </row>
    <row r="19" spans="1:8" ht="12" hidden="1" customHeight="1">
      <c r="B19" s="2281"/>
      <c r="C19" s="2281"/>
      <c r="D19" s="2281"/>
      <c r="E19" s="2281"/>
      <c r="F19" s="2281"/>
      <c r="G19" s="2281"/>
      <c r="H19" s="2281"/>
    </row>
    <row r="20" spans="1:8" ht="13.5" customHeight="1"/>
    <row r="21" spans="1:8" ht="12" customHeight="1">
      <c r="A21" s="746" t="s">
        <v>3261</v>
      </c>
    </row>
    <row r="22" spans="1:8" ht="3" customHeight="1"/>
    <row r="23" spans="1:8" ht="26.25" customHeight="1">
      <c r="A23" s="2284" t="s">
        <v>3358</v>
      </c>
      <c r="B23" s="2284"/>
      <c r="C23" s="2284"/>
      <c r="D23" s="2284"/>
      <c r="E23" s="2284"/>
      <c r="F23" s="2284"/>
      <c r="G23" s="2284"/>
      <c r="H23" s="2284"/>
    </row>
    <row r="24" spans="1:8" ht="26.25" customHeight="1">
      <c r="A24" s="2285" t="s">
        <v>3262</v>
      </c>
      <c r="B24" s="2285"/>
      <c r="C24" s="2285"/>
      <c r="D24" s="2285"/>
      <c r="E24" s="2285"/>
      <c r="F24" s="2285"/>
      <c r="G24" s="2285"/>
      <c r="H24" s="2285"/>
    </row>
    <row r="25" spans="1:8" ht="9" customHeight="1">
      <c r="A25" s="831"/>
    </row>
    <row r="26" spans="1:8">
      <c r="A26" s="864" t="s">
        <v>3360</v>
      </c>
      <c r="B26" s="891"/>
      <c r="C26" s="864" t="s">
        <v>3361</v>
      </c>
      <c r="D26" s="892" t="s">
        <v>3550</v>
      </c>
    </row>
    <row r="27" spans="1:8" ht="6" customHeight="1"/>
    <row r="28" spans="1:8" ht="12.75" customHeight="1">
      <c r="C28" s="858" t="s">
        <v>3263</v>
      </c>
      <c r="D28" s="893" t="s">
        <v>2001</v>
      </c>
      <c r="E28" s="894"/>
      <c r="F28" s="2267" t="s">
        <v>3264</v>
      </c>
      <c r="G28" s="2267"/>
      <c r="H28" s="2267"/>
    </row>
    <row r="29" spans="1:8" ht="12.75" customHeight="1">
      <c r="C29" s="895" t="s">
        <v>1365</v>
      </c>
      <c r="D29" s="893" t="s">
        <v>2003</v>
      </c>
      <c r="E29" s="2267" t="s">
        <v>3365</v>
      </c>
      <c r="F29" s="2267"/>
      <c r="G29" s="2267"/>
      <c r="H29" s="2267"/>
    </row>
    <row r="30" spans="1:8" ht="12.75" customHeight="1">
      <c r="E30" s="2267" t="s">
        <v>3546</v>
      </c>
      <c r="F30" s="2267"/>
      <c r="G30" s="2267"/>
      <c r="H30" s="2267"/>
    </row>
    <row r="31" spans="1:8" ht="12.75" customHeight="1">
      <c r="D31" s="896" t="s">
        <v>3364</v>
      </c>
      <c r="E31" s="2267" t="s">
        <v>3547</v>
      </c>
      <c r="F31" s="2267"/>
      <c r="G31" s="2267"/>
      <c r="H31" s="2267"/>
    </row>
    <row r="32" spans="1:8" ht="3" customHeight="1">
      <c r="D32" s="893"/>
      <c r="E32" s="1471"/>
      <c r="F32" s="1471"/>
      <c r="G32" s="1471"/>
      <c r="H32" s="1471"/>
    </row>
    <row r="33" spans="1:11">
      <c r="A33" s="864" t="s">
        <v>3360</v>
      </c>
      <c r="B33" s="891"/>
      <c r="C33" s="864" t="s">
        <v>3362</v>
      </c>
      <c r="D33" s="892" t="s">
        <v>3551</v>
      </c>
    </row>
    <row r="34" spans="1:11" ht="4.5" customHeight="1"/>
    <row r="35" spans="1:11" ht="12.75" customHeight="1">
      <c r="C35" s="858" t="s">
        <v>3263</v>
      </c>
      <c r="D35" s="893" t="s">
        <v>2001</v>
      </c>
      <c r="E35" s="894"/>
      <c r="F35" s="2267" t="s">
        <v>3264</v>
      </c>
      <c r="G35" s="2267"/>
      <c r="H35" s="2267"/>
    </row>
    <row r="36" spans="1:11" ht="12.75" customHeight="1">
      <c r="C36" s="895" t="s">
        <v>1365</v>
      </c>
      <c r="D36" s="893" t="s">
        <v>2003</v>
      </c>
      <c r="E36" s="2267" t="s">
        <v>3366</v>
      </c>
      <c r="F36" s="2267"/>
      <c r="G36" s="2267"/>
      <c r="H36" s="2267"/>
    </row>
    <row r="37" spans="1:11" ht="12.75" customHeight="1">
      <c r="E37" s="2267" t="s">
        <v>3546</v>
      </c>
      <c r="F37" s="2267"/>
      <c r="G37" s="2267"/>
      <c r="H37" s="2267"/>
    </row>
    <row r="38" spans="1:11" ht="12.75" customHeight="1">
      <c r="D38" s="896" t="s">
        <v>3364</v>
      </c>
      <c r="E38" s="2267" t="s">
        <v>3547</v>
      </c>
      <c r="F38" s="2267"/>
      <c r="G38" s="2267"/>
      <c r="H38" s="2267"/>
    </row>
    <row r="39" spans="1:11" ht="3" customHeight="1">
      <c r="D39" s="893"/>
      <c r="E39" s="1471"/>
      <c r="F39" s="1471"/>
      <c r="G39" s="1471"/>
      <c r="H39" s="1471"/>
    </row>
    <row r="40" spans="1:11">
      <c r="A40" s="864" t="s">
        <v>3360</v>
      </c>
      <c r="B40" s="891"/>
      <c r="C40" s="864" t="s">
        <v>3363</v>
      </c>
      <c r="D40" s="892" t="s">
        <v>3552</v>
      </c>
    </row>
    <row r="41" spans="1:11" ht="4.5" customHeight="1"/>
    <row r="42" spans="1:11" ht="12.75" customHeight="1">
      <c r="C42" s="858" t="s">
        <v>3263</v>
      </c>
      <c r="D42" s="893" t="s">
        <v>2001</v>
      </c>
      <c r="E42" s="894"/>
      <c r="F42" s="2267" t="s">
        <v>3264</v>
      </c>
      <c r="G42" s="2267"/>
      <c r="H42" s="2267"/>
      <c r="K42" s="809" t="s">
        <v>245</v>
      </c>
    </row>
    <row r="43" spans="1:11" ht="12.75" customHeight="1">
      <c r="C43" s="895" t="s">
        <v>1365</v>
      </c>
      <c r="D43" s="893" t="s">
        <v>2003</v>
      </c>
      <c r="E43" s="2267" t="s">
        <v>3366</v>
      </c>
      <c r="F43" s="2267"/>
      <c r="G43" s="2267"/>
      <c r="H43" s="2267"/>
    </row>
    <row r="44" spans="1:11" ht="12.75" customHeight="1">
      <c r="E44" s="2267" t="s">
        <v>3546</v>
      </c>
      <c r="F44" s="2267"/>
      <c r="G44" s="2267"/>
      <c r="H44" s="2267"/>
    </row>
    <row r="45" spans="1:11" ht="12.75" customHeight="1">
      <c r="D45" s="896" t="s">
        <v>3364</v>
      </c>
      <c r="E45" s="2267" t="s">
        <v>3547</v>
      </c>
      <c r="F45" s="2267"/>
      <c r="G45" s="2267"/>
      <c r="H45" s="2267"/>
    </row>
    <row r="46" spans="1:11" ht="9" customHeight="1"/>
    <row r="47" spans="1:11" ht="7.5" customHeight="1">
      <c r="E47" s="2267"/>
      <c r="F47" s="2267"/>
      <c r="G47" s="2267"/>
      <c r="H47" s="2267"/>
    </row>
    <row r="48" spans="1:11" ht="24.75" customHeight="1">
      <c r="A48" s="2283" t="s">
        <v>4294</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3360</v>
      </c>
      <c r="B52" s="891"/>
      <c r="C52" s="864" t="s">
        <v>3361</v>
      </c>
      <c r="D52" s="892" t="s">
        <v>3549</v>
      </c>
    </row>
    <row r="53" spans="1:11" ht="4.5" customHeight="1"/>
    <row r="54" spans="1:11" ht="12.75" customHeight="1">
      <c r="C54" s="858" t="s">
        <v>3263</v>
      </c>
      <c r="D54" s="893" t="s">
        <v>2001</v>
      </c>
      <c r="E54" s="894"/>
      <c r="F54" s="2267" t="s">
        <v>3264</v>
      </c>
      <c r="G54" s="2267"/>
      <c r="H54" s="2267"/>
    </row>
    <row r="55" spans="1:11" ht="12.75" customHeight="1">
      <c r="C55" s="895" t="s">
        <v>1365</v>
      </c>
      <c r="D55" s="893" t="s">
        <v>2003</v>
      </c>
      <c r="E55" s="2267" t="s">
        <v>3555</v>
      </c>
      <c r="F55" s="2267"/>
      <c r="G55" s="2267"/>
      <c r="H55" s="2267"/>
    </row>
    <row r="56" spans="1:11" ht="3" customHeight="1">
      <c r="D56" s="893"/>
      <c r="E56" s="1471"/>
      <c r="F56" s="1471"/>
      <c r="G56" s="1471"/>
      <c r="H56" s="1471"/>
    </row>
    <row r="57" spans="1:11">
      <c r="A57" s="864" t="s">
        <v>3360</v>
      </c>
      <c r="B57" s="891"/>
      <c r="C57" s="864" t="s">
        <v>3362</v>
      </c>
      <c r="D57" s="892" t="s">
        <v>3553</v>
      </c>
    </row>
    <row r="58" spans="1:11" ht="4.5" customHeight="1"/>
    <row r="59" spans="1:11">
      <c r="C59" s="858" t="s">
        <v>3263</v>
      </c>
      <c r="D59" s="893" t="s">
        <v>2001</v>
      </c>
      <c r="E59" s="894"/>
      <c r="F59" s="2267" t="s">
        <v>3264</v>
      </c>
      <c r="G59" s="2267"/>
      <c r="H59" s="2267"/>
    </row>
    <row r="60" spans="1:11" ht="12.75" customHeight="1">
      <c r="C60" s="895" t="s">
        <v>1365</v>
      </c>
      <c r="D60" s="893" t="s">
        <v>2003</v>
      </c>
      <c r="E60" s="2267" t="s">
        <v>3555</v>
      </c>
      <c r="F60" s="2267"/>
      <c r="G60" s="2267"/>
      <c r="H60" s="2267"/>
    </row>
    <row r="61" spans="1:11" ht="3" customHeight="1">
      <c r="D61" s="893"/>
      <c r="E61" s="1471"/>
      <c r="F61" s="1471"/>
      <c r="G61" s="1471"/>
      <c r="H61" s="1471"/>
    </row>
    <row r="62" spans="1:11">
      <c r="A62" s="864" t="s">
        <v>3360</v>
      </c>
      <c r="B62" s="891"/>
      <c r="C62" s="864" t="s">
        <v>3363</v>
      </c>
      <c r="D62" s="892" t="s">
        <v>3554</v>
      </c>
    </row>
    <row r="63" spans="1:11" ht="4.5" customHeight="1"/>
    <row r="64" spans="1:11">
      <c r="C64" s="858" t="s">
        <v>3263</v>
      </c>
      <c r="D64" s="893" t="s">
        <v>2001</v>
      </c>
      <c r="E64" s="894"/>
      <c r="F64" s="2267" t="s">
        <v>3264</v>
      </c>
      <c r="G64" s="2267"/>
      <c r="H64" s="2267"/>
      <c r="K64" s="809" t="s">
        <v>245</v>
      </c>
    </row>
    <row r="65" spans="3:8" ht="12.75" customHeight="1">
      <c r="C65" s="895" t="s">
        <v>1365</v>
      </c>
      <c r="D65" s="893" t="s">
        <v>2003</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4337</v>
      </c>
      <c r="C1" s="2304"/>
      <c r="D1" s="2304"/>
      <c r="E1" s="2304"/>
      <c r="F1" s="2304"/>
      <c r="G1" s="2304"/>
      <c r="H1" s="2304"/>
      <c r="I1" s="2304"/>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2305" t="s">
        <v>3265</v>
      </c>
      <c r="C4" s="2305"/>
      <c r="D4" s="2305"/>
      <c r="E4" s="2311" t="s">
        <v>3266</v>
      </c>
      <c r="F4" s="2313"/>
      <c r="G4" s="2311" t="s">
        <v>623</v>
      </c>
      <c r="H4" s="2312"/>
      <c r="I4" s="2313"/>
      <c r="J4" s="1485" t="s">
        <v>3110</v>
      </c>
      <c r="K4" s="1485"/>
      <c r="L4" s="1493"/>
      <c r="M4" s="1493"/>
    </row>
    <row r="5" spans="2:13">
      <c r="B5" s="2306" t="str">
        <f>'Closing term sheet'!C8</f>
        <v>Sparrow Pointe Housing, LP</v>
      </c>
      <c r="C5" s="2307"/>
      <c r="D5" s="2307"/>
      <c r="E5" s="2317"/>
      <c r="F5" s="2318"/>
      <c r="G5" s="2314" t="str">
        <f>'Closing term sheet'!C28</f>
        <v>Sparrow Pointe at Forest Hill</v>
      </c>
      <c r="H5" s="2315"/>
      <c r="I5" s="2316"/>
      <c r="K5" s="809"/>
    </row>
    <row r="6" spans="2:13" ht="4.5" customHeight="1">
      <c r="D6" s="1494"/>
      <c r="E6" s="1494"/>
      <c r="F6" s="1494"/>
      <c r="G6" s="1494"/>
      <c r="H6" s="1494"/>
      <c r="I6" s="1494"/>
      <c r="K6" s="809"/>
    </row>
    <row r="7" spans="2:13">
      <c r="B7" s="2308" t="s">
        <v>3267</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3268</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3269</v>
      </c>
      <c r="C12" s="1501"/>
      <c r="D12" s="1501"/>
      <c r="E12" s="1501"/>
      <c r="F12" s="1501"/>
      <c r="G12" s="1501"/>
      <c r="H12" s="1501"/>
      <c r="I12" s="1502" t="s">
        <v>3012</v>
      </c>
    </row>
    <row r="13" spans="2:13">
      <c r="B13" s="1503"/>
      <c r="C13" s="1504"/>
      <c r="D13" s="1495"/>
      <c r="E13" s="866" t="s">
        <v>3270</v>
      </c>
      <c r="F13" s="1495"/>
      <c r="G13" s="1495"/>
      <c r="H13" s="1495"/>
      <c r="I13" s="1505"/>
    </row>
    <row r="14" spans="2:13" ht="7.5" customHeight="1">
      <c r="B14" s="1506"/>
      <c r="C14" s="1495"/>
      <c r="D14" s="1495"/>
      <c r="E14" s="1495"/>
      <c r="F14" s="1499"/>
      <c r="G14" s="1495"/>
      <c r="H14" s="1495"/>
      <c r="I14" s="1505"/>
    </row>
    <row r="15" spans="2:13">
      <c r="B15" s="1506" t="s">
        <v>3367</v>
      </c>
      <c r="C15" s="1495"/>
      <c r="D15" s="1495"/>
      <c r="E15" s="1495"/>
      <c r="F15" s="886"/>
      <c r="G15" s="1495"/>
      <c r="H15" s="1495"/>
      <c r="I15" s="1507"/>
    </row>
    <row r="16" spans="2:13">
      <c r="B16" s="1508" t="s">
        <v>4328</v>
      </c>
      <c r="C16" s="1495"/>
      <c r="D16" s="1495"/>
      <c r="E16" s="1509" t="s">
        <v>3462</v>
      </c>
      <c r="F16" s="1495"/>
      <c r="G16" s="1495"/>
      <c r="H16" s="1495"/>
      <c r="I16" s="1507"/>
    </row>
    <row r="17" spans="2:9" ht="7.5" customHeight="1">
      <c r="B17" s="1503"/>
      <c r="C17" s="1495"/>
      <c r="D17" s="1495"/>
      <c r="E17" s="1495"/>
      <c r="F17" s="1495"/>
      <c r="G17" s="1495"/>
      <c r="H17" s="1495"/>
      <c r="I17" s="1505"/>
    </row>
    <row r="18" spans="2:9">
      <c r="B18" s="1506" t="s">
        <v>3271</v>
      </c>
      <c r="C18" s="1495"/>
      <c r="D18" s="1495"/>
      <c r="E18" s="1495"/>
      <c r="F18" s="1495"/>
      <c r="G18" s="1495"/>
      <c r="H18" s="1495"/>
      <c r="I18" s="1510" t="s">
        <v>3012</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3272</v>
      </c>
      <c r="C27" s="1495"/>
      <c r="D27" s="1518">
        <v>2</v>
      </c>
      <c r="F27" s="1495"/>
      <c r="G27" s="886" t="s">
        <v>3273</v>
      </c>
      <c r="H27" s="1495"/>
      <c r="I27" s="1519">
        <v>2</v>
      </c>
    </row>
    <row r="28" spans="2:9">
      <c r="B28" s="1503"/>
      <c r="C28" s="1509" t="s">
        <v>3274</v>
      </c>
      <c r="D28" s="1520"/>
      <c r="E28" s="1520"/>
      <c r="F28" s="1520"/>
      <c r="H28" s="1520" t="s">
        <v>3275</v>
      </c>
      <c r="I28" s="1505"/>
    </row>
    <row r="29" spans="2:9">
      <c r="B29" s="1503"/>
      <c r="C29" s="1509" t="s">
        <v>3276</v>
      </c>
      <c r="D29" s="1520"/>
      <c r="E29" s="1520"/>
      <c r="F29" s="1520"/>
      <c r="H29" s="1520" t="s">
        <v>3277</v>
      </c>
      <c r="I29" s="1505"/>
    </row>
    <row r="30" spans="2:9">
      <c r="B30" s="1503"/>
      <c r="C30" s="1509" t="s">
        <v>3278</v>
      </c>
      <c r="D30" s="1520"/>
      <c r="E30" s="1520"/>
      <c r="F30" s="1520"/>
      <c r="H30" s="1520" t="s">
        <v>3279</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2289" t="s">
        <v>4345</v>
      </c>
      <c r="I35" s="2290"/>
    </row>
    <row r="36" spans="2:9">
      <c r="B36" s="1522" t="s">
        <v>4344</v>
      </c>
      <c r="C36" s="1520"/>
      <c r="D36" s="1520"/>
      <c r="E36" s="1495"/>
      <c r="F36" s="1523"/>
      <c r="G36" s="1524"/>
      <c r="H36" s="2289"/>
      <c r="I36" s="2290"/>
    </row>
    <row r="37" spans="2:9">
      <c r="B37" s="1522" t="s">
        <v>4342</v>
      </c>
      <c r="D37" s="1520"/>
      <c r="E37" s="1495"/>
      <c r="F37" s="1525"/>
      <c r="G37" s="1524"/>
      <c r="H37" s="2289"/>
      <c r="I37" s="2290"/>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3280</v>
      </c>
      <c r="C48" s="1520"/>
      <c r="D48" s="1520" t="s">
        <v>3281</v>
      </c>
      <c r="E48" s="1495"/>
      <c r="F48" s="2298" t="str">
        <f>'Closing term sheet'!$C$30</f>
        <v>8th Street SE</v>
      </c>
      <c r="G48" s="2299"/>
      <c r="H48" s="2299"/>
      <c r="I48" s="2300"/>
    </row>
    <row r="49" spans="2:9">
      <c r="B49" s="1511" t="s">
        <v>3282</v>
      </c>
      <c r="D49" s="1520" t="s">
        <v>3283</v>
      </c>
      <c r="E49" s="1495"/>
      <c r="F49" s="2301"/>
      <c r="G49" s="2302"/>
      <c r="H49" s="2302"/>
      <c r="I49" s="2303"/>
    </row>
    <row r="50" spans="2:9">
      <c r="B50" s="1511" t="s">
        <v>3284</v>
      </c>
      <c r="D50" s="1495"/>
      <c r="E50" s="1495"/>
      <c r="F50" s="1535"/>
      <c r="G50" s="1536"/>
      <c r="H50" s="1536"/>
      <c r="I50" s="1537"/>
    </row>
    <row r="51" spans="2:9" ht="7.5" customHeight="1">
      <c r="B51" s="1503"/>
      <c r="C51" s="1495"/>
      <c r="D51" s="1495"/>
      <c r="E51" s="1495"/>
      <c r="F51" s="1495"/>
      <c r="G51" s="1495"/>
      <c r="H51" s="1495"/>
      <c r="I51" s="1505"/>
    </row>
    <row r="52" spans="2:9">
      <c r="B52" s="1538" t="s">
        <v>4347</v>
      </c>
      <c r="C52" s="2321" t="str">
        <f>'Part I-Project Information'!F38</f>
        <v>Moultrie</v>
      </c>
      <c r="D52" s="2322"/>
      <c r="E52" s="1539" t="s">
        <v>4348</v>
      </c>
      <c r="F52" s="1497" t="s">
        <v>856</v>
      </c>
      <c r="G52" s="1539" t="s">
        <v>4349</v>
      </c>
      <c r="H52" s="1540">
        <f>'Part I-Project Information'!J38</f>
        <v>317686032</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50</v>
      </c>
      <c r="E55" s="1543"/>
      <c r="F55" s="866" t="s">
        <v>3285</v>
      </c>
      <c r="G55" s="1495"/>
      <c r="H55" s="1495"/>
      <c r="I55" s="1505"/>
    </row>
    <row r="56" spans="2:9">
      <c r="B56" s="1531" t="s">
        <v>4515</v>
      </c>
      <c r="D56" s="1544">
        <f>'Closing term sheet'!$D$62</f>
        <v>6862941</v>
      </c>
      <c r="E56" s="1545"/>
      <c r="F56" s="866" t="s">
        <v>3286</v>
      </c>
      <c r="G56" s="1495"/>
      <c r="H56" s="1495"/>
      <c r="I56" s="1505"/>
    </row>
    <row r="57" spans="2:9">
      <c r="B57" s="1522" t="s">
        <v>4514</v>
      </c>
      <c r="D57" s="1546"/>
      <c r="F57" s="866" t="s">
        <v>3287</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3288</v>
      </c>
      <c r="C61" s="2327"/>
      <c r="D61" s="2327"/>
      <c r="E61" s="2327"/>
      <c r="F61" s="2327"/>
      <c r="G61" s="2327"/>
      <c r="H61" s="2327"/>
      <c r="I61" s="2328"/>
    </row>
    <row r="62" spans="2:9" ht="7.5" customHeight="1">
      <c r="B62" s="2323"/>
      <c r="C62" s="2324"/>
      <c r="D62" s="2324"/>
      <c r="E62" s="1495"/>
      <c r="F62" s="1495"/>
      <c r="G62" s="1547"/>
      <c r="H62" s="1495"/>
      <c r="I62" s="1505"/>
    </row>
    <row r="63" spans="2:9">
      <c r="B63" s="1548" t="s">
        <v>3290</v>
      </c>
      <c r="C63" s="1495"/>
      <c r="D63" s="1542">
        <v>4</v>
      </c>
      <c r="F63" s="1495"/>
      <c r="G63" s="2308" t="s">
        <v>3289</v>
      </c>
      <c r="H63" s="2308"/>
      <c r="I63" s="2325"/>
    </row>
    <row r="64" spans="2:9">
      <c r="B64" s="1503"/>
      <c r="C64" s="1520" t="s">
        <v>3293</v>
      </c>
      <c r="D64" s="1520" t="s">
        <v>3294</v>
      </c>
      <c r="F64" s="1495"/>
      <c r="G64" s="878" t="s">
        <v>3291</v>
      </c>
      <c r="H64" s="1495"/>
      <c r="I64" s="1549">
        <f>'Closing term sheet'!$D$35</f>
        <v>50</v>
      </c>
    </row>
    <row r="65" spans="2:9">
      <c r="B65" s="1503"/>
      <c r="C65" s="1520" t="s">
        <v>3295</v>
      </c>
      <c r="D65" s="1520" t="s">
        <v>3296</v>
      </c>
      <c r="F65" s="1495"/>
      <c r="G65" s="1550" t="s">
        <v>3292</v>
      </c>
      <c r="H65" s="1495"/>
      <c r="I65" s="1549">
        <f>C42</f>
        <v>0</v>
      </c>
    </row>
    <row r="66" spans="2:9">
      <c r="B66" s="1511"/>
      <c r="C66" s="1520" t="s">
        <v>3297</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3298</v>
      </c>
      <c r="C70" s="1495"/>
      <c r="D70" s="1495"/>
      <c r="E70" s="1495"/>
      <c r="F70" s="1495"/>
      <c r="G70" s="1495"/>
      <c r="H70" s="1495"/>
      <c r="I70" s="1505"/>
    </row>
    <row r="71" spans="2:9" ht="7.5" customHeight="1">
      <c r="B71" s="1503"/>
      <c r="C71" s="1495"/>
      <c r="D71" s="1495"/>
      <c r="E71" s="1495"/>
      <c r="F71" s="1495"/>
      <c r="G71" s="1495"/>
      <c r="H71" s="1495"/>
      <c r="I71" s="1505"/>
    </row>
    <row r="72" spans="2:9">
      <c r="B72" s="1506" t="s">
        <v>3299</v>
      </c>
      <c r="D72" s="1495"/>
      <c r="E72" s="1495"/>
      <c r="F72" s="1495"/>
      <c r="G72" s="1495"/>
      <c r="H72" s="1495"/>
      <c r="I72" s="1533"/>
    </row>
    <row r="73" spans="2:9" ht="7.5" customHeight="1">
      <c r="B73" s="1503"/>
      <c r="C73" s="1495"/>
      <c r="D73" s="1495"/>
      <c r="E73" s="1495"/>
      <c r="F73" s="1495"/>
      <c r="G73" s="1495"/>
      <c r="H73" s="1495"/>
      <c r="I73" s="1505"/>
    </row>
    <row r="74" spans="2:9">
      <c r="B74" s="1503" t="s">
        <v>3300</v>
      </c>
      <c r="D74" s="1495"/>
      <c r="E74" s="1495"/>
      <c r="F74" s="1495" t="s">
        <v>3368</v>
      </c>
      <c r="G74" s="1495"/>
      <c r="H74" s="1495"/>
      <c r="I74" s="1552"/>
    </row>
    <row r="75" spans="2:9">
      <c r="B75" s="1503"/>
      <c r="E75" s="1495"/>
      <c r="F75" s="1495" t="s">
        <v>3369</v>
      </c>
      <c r="G75" s="1495"/>
      <c r="H75" s="1495"/>
      <c r="I75" s="1552"/>
    </row>
    <row r="76" spans="2:9">
      <c r="B76" s="1503"/>
      <c r="E76" s="1495"/>
      <c r="F76" s="1495" t="s">
        <v>3370</v>
      </c>
      <c r="G76" s="1495"/>
      <c r="H76" s="1495"/>
      <c r="I76" s="1552"/>
    </row>
    <row r="77" spans="2:9">
      <c r="B77" s="1503"/>
      <c r="E77" s="1495"/>
      <c r="F77" s="886" t="s">
        <v>3371</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3301</v>
      </c>
      <c r="C81" s="2327"/>
      <c r="D81" s="2327"/>
      <c r="E81" s="2327"/>
      <c r="F81" s="2327"/>
      <c r="G81" s="2327"/>
      <c r="H81" s="2327"/>
      <c r="I81" s="2328"/>
    </row>
    <row r="82" spans="2:9">
      <c r="B82" s="1503"/>
      <c r="C82" s="1495"/>
      <c r="D82" s="1495"/>
      <c r="E82" s="1495"/>
      <c r="F82" s="1495"/>
      <c r="G82" s="1495"/>
      <c r="H82" s="1495"/>
      <c r="I82" s="1505"/>
    </row>
    <row r="83" spans="2:9">
      <c r="B83" s="1506" t="s">
        <v>3302</v>
      </c>
      <c r="C83" s="1495"/>
      <c r="D83" s="1495"/>
      <c r="E83" s="1495"/>
      <c r="F83" s="1495"/>
      <c r="G83" s="1495"/>
      <c r="H83" s="1495"/>
      <c r="I83" s="1505"/>
    </row>
    <row r="84" spans="2:9">
      <c r="B84" s="1503"/>
      <c r="C84" s="886" t="s">
        <v>3303</v>
      </c>
      <c r="D84" s="1495"/>
      <c r="E84" s="1495"/>
      <c r="F84" s="2294">
        <f>'Closing term sheet'!D62</f>
        <v>6862941</v>
      </c>
      <c r="G84" s="2294"/>
      <c r="H84" s="1495"/>
      <c r="I84" s="1505"/>
    </row>
    <row r="85" spans="2:9">
      <c r="B85" s="1503"/>
      <c r="C85" s="886" t="s">
        <v>3304</v>
      </c>
      <c r="D85" s="1495"/>
      <c r="E85" s="1495"/>
      <c r="F85" s="2320">
        <f>'Part III-Sources of Funds'!I44+'Part III-Sources of Funds'!I45</f>
        <v>20996.031871317104</v>
      </c>
      <c r="G85" s="2320"/>
      <c r="H85" s="1495"/>
      <c r="I85" s="1505"/>
    </row>
    <row r="86" spans="2:9">
      <c r="B86" s="1503"/>
      <c r="C86" s="886" t="s">
        <v>3305</v>
      </c>
      <c r="D86" s="1495"/>
      <c r="E86" s="1495"/>
      <c r="F86" s="2319"/>
      <c r="G86" s="2319"/>
      <c r="H86" s="1495"/>
      <c r="I86" s="1505"/>
    </row>
    <row r="87" spans="2:9">
      <c r="B87" s="1503"/>
      <c r="C87" s="1520" t="s">
        <v>3306</v>
      </c>
      <c r="D87" s="1495"/>
      <c r="E87" s="1495"/>
      <c r="F87" s="2320">
        <v>11000</v>
      </c>
      <c r="G87" s="2320"/>
      <c r="H87" s="1495"/>
      <c r="I87" s="1505"/>
    </row>
    <row r="88" spans="2:9">
      <c r="B88" s="1503"/>
      <c r="C88" s="886" t="s">
        <v>3307</v>
      </c>
      <c r="D88" s="1495"/>
      <c r="E88" s="1495"/>
      <c r="F88" s="2297"/>
      <c r="G88" s="2297"/>
      <c r="H88" s="1495"/>
      <c r="I88" s="1505"/>
    </row>
    <row r="89" spans="2:9">
      <c r="B89" s="1503"/>
      <c r="C89" s="866" t="s">
        <v>3308</v>
      </c>
      <c r="D89" s="1495"/>
      <c r="E89" s="1495"/>
      <c r="F89" s="2292">
        <f>SUM(F84:G88)</f>
        <v>6894937.031871317</v>
      </c>
      <c r="G89" s="2292"/>
      <c r="H89" s="1495"/>
      <c r="I89" s="1505"/>
    </row>
    <row r="90" spans="2:9">
      <c r="B90" s="1503"/>
      <c r="C90" s="1495"/>
      <c r="D90" s="1495"/>
      <c r="E90" s="1495"/>
      <c r="F90" s="2293"/>
      <c r="G90" s="2293"/>
      <c r="H90" s="1495"/>
      <c r="I90" s="1505"/>
    </row>
    <row r="91" spans="2:9">
      <c r="B91" s="1506" t="s">
        <v>3309</v>
      </c>
      <c r="C91" s="1495"/>
      <c r="D91" s="1495"/>
      <c r="E91" s="1495"/>
      <c r="F91" s="1495"/>
      <c r="G91" s="1495"/>
      <c r="H91" s="1495"/>
      <c r="I91" s="1505"/>
    </row>
    <row r="92" spans="2:9">
      <c r="B92" s="1503"/>
      <c r="C92" s="886" t="s">
        <v>3310</v>
      </c>
      <c r="D92" s="1495"/>
      <c r="E92" s="1495"/>
      <c r="F92" s="2294"/>
      <c r="G92" s="2294"/>
      <c r="H92" s="1495"/>
      <c r="I92" s="1505"/>
    </row>
    <row r="93" spans="2:9">
      <c r="B93" s="1503"/>
      <c r="C93" s="886" t="s">
        <v>3311</v>
      </c>
      <c r="D93" s="1495"/>
      <c r="E93" s="1495"/>
      <c r="F93" s="2295"/>
      <c r="G93" s="2295"/>
      <c r="H93" s="1495"/>
      <c r="I93" s="1505"/>
    </row>
    <row r="94" spans="2:9">
      <c r="B94" s="1503"/>
      <c r="C94" s="886" t="s">
        <v>3312</v>
      </c>
      <c r="D94" s="1495"/>
      <c r="E94" s="1495"/>
      <c r="F94" s="2296" t="s">
        <v>3186</v>
      </c>
      <c r="G94" s="2291"/>
      <c r="H94" s="1495"/>
      <c r="I94" s="1505"/>
    </row>
    <row r="95" spans="2:9">
      <c r="B95" s="1503"/>
      <c r="C95" s="866" t="s">
        <v>3313</v>
      </c>
      <c r="D95" s="1495"/>
      <c r="E95" s="1495"/>
      <c r="F95" s="2292">
        <f>+SUM(F92:G94)</f>
        <v>0</v>
      </c>
      <c r="G95" s="2292"/>
      <c r="H95" s="1495"/>
      <c r="I95" s="1505"/>
    </row>
    <row r="96" spans="2:9">
      <c r="B96" s="1503"/>
      <c r="C96" s="1495"/>
      <c r="D96" s="1495"/>
      <c r="E96" s="1495"/>
      <c r="F96" s="1495"/>
      <c r="G96" s="1495"/>
      <c r="H96" s="1495"/>
      <c r="I96" s="1505"/>
    </row>
    <row r="97" spans="2:9">
      <c r="B97" s="1506" t="s">
        <v>3314</v>
      </c>
      <c r="C97" s="1495"/>
      <c r="D97" s="1495"/>
      <c r="E97" s="1495"/>
      <c r="F97" s="1495"/>
      <c r="G97" s="1495"/>
      <c r="H97" s="1495"/>
      <c r="I97" s="1505"/>
    </row>
    <row r="98" spans="2:9">
      <c r="B98" s="1503"/>
      <c r="C98" s="886" t="s">
        <v>3315</v>
      </c>
      <c r="D98" s="1495"/>
      <c r="E98" s="1495"/>
      <c r="F98" s="2294"/>
      <c r="G98" s="2294"/>
      <c r="H98" s="1495"/>
      <c r="I98" s="1505"/>
    </row>
    <row r="99" spans="2:9">
      <c r="B99" s="1503"/>
      <c r="C99" s="886" t="s">
        <v>3316</v>
      </c>
      <c r="D99" s="1495"/>
      <c r="E99" s="1495"/>
      <c r="F99" s="2295"/>
      <c r="G99" s="2295"/>
      <c r="H99" s="1495"/>
      <c r="I99" s="1505"/>
    </row>
    <row r="100" spans="2:9">
      <c r="B100" s="1503"/>
      <c r="C100" s="886" t="s">
        <v>3317</v>
      </c>
      <c r="D100" s="1495"/>
      <c r="E100" s="1495"/>
      <c r="F100" s="2297"/>
      <c r="G100" s="2297"/>
      <c r="H100" s="1495"/>
      <c r="I100" s="1505"/>
    </row>
    <row r="101" spans="2:9">
      <c r="B101" s="1503"/>
      <c r="C101" s="866" t="s">
        <v>3318</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3319</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3320</v>
      </c>
    </row>
    <row r="105" spans="2:9">
      <c r="B105" s="1506" t="s">
        <v>3321</v>
      </c>
      <c r="C105" s="1495"/>
      <c r="D105" s="1495"/>
      <c r="E105" s="1495"/>
      <c r="F105" s="2291">
        <f>+F103+F101+F95+F89</f>
        <v>6894937.031871317</v>
      </c>
      <c r="G105" s="2291"/>
      <c r="H105" s="1495"/>
      <c r="I105" s="1505"/>
    </row>
    <row r="106" spans="2:9">
      <c r="B106" s="1513"/>
      <c r="C106" s="1514"/>
      <c r="D106" s="1514"/>
      <c r="E106" s="1514"/>
      <c r="F106" s="1514"/>
      <c r="G106" s="1514"/>
      <c r="H106" s="1514"/>
      <c r="I106" s="1515"/>
    </row>
    <row r="108" spans="2:9">
      <c r="C108" s="1554" t="s">
        <v>3009</v>
      </c>
    </row>
    <row r="109" spans="2:9">
      <c r="C109" s="1554"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2767</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1920</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4126</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3701</v>
      </c>
      <c r="C13" s="2913"/>
      <c r="D13" s="2913"/>
      <c r="E13" s="2913"/>
      <c r="F13" s="2913"/>
      <c r="G13" s="2913"/>
      <c r="H13" s="2913"/>
      <c r="I13" s="2913"/>
      <c r="J13" s="2913"/>
      <c r="K13" s="2913"/>
      <c r="L13" s="2913"/>
      <c r="M13" s="2913"/>
    </row>
    <row r="14" spans="1:26" ht="47.25" customHeight="1">
      <c r="A14" s="2912" t="s">
        <v>1751</v>
      </c>
      <c r="B14" s="2913" t="s">
        <v>3702</v>
      </c>
      <c r="C14" s="2913"/>
      <c r="D14" s="2913"/>
      <c r="E14" s="2913"/>
      <c r="F14" s="2913"/>
      <c r="G14" s="2913"/>
      <c r="H14" s="2913"/>
      <c r="I14" s="2913"/>
      <c r="J14" s="2913"/>
      <c r="K14" s="2913"/>
      <c r="L14" s="2913"/>
      <c r="M14" s="2913"/>
    </row>
    <row r="15" spans="1:26" ht="117" customHeight="1">
      <c r="A15" s="2912" t="s">
        <v>1752</v>
      </c>
      <c r="B15" s="2913" t="s">
        <v>3703</v>
      </c>
      <c r="C15" s="2913"/>
      <c r="D15" s="2913"/>
      <c r="E15" s="2913"/>
      <c r="F15" s="2913"/>
      <c r="G15" s="2913"/>
      <c r="H15" s="2913"/>
      <c r="I15" s="2913"/>
      <c r="J15" s="2913"/>
      <c r="K15" s="2913"/>
      <c r="L15" s="2913"/>
      <c r="M15" s="2913"/>
    </row>
    <row r="16" spans="1:26" ht="147" customHeight="1">
      <c r="A16" s="2912" t="s">
        <v>2380</v>
      </c>
      <c r="B16" s="2913" t="s">
        <v>3478</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3477</v>
      </c>
      <c r="C18" s="2913"/>
      <c r="D18" s="2913"/>
      <c r="E18" s="2913"/>
      <c r="F18" s="2913"/>
      <c r="G18" s="2913"/>
      <c r="H18" s="2913"/>
      <c r="I18" s="2913"/>
      <c r="J18" s="2913"/>
      <c r="K18" s="2913"/>
      <c r="L18" s="2913"/>
      <c r="M18" s="2913"/>
    </row>
    <row r="19" spans="1:13" ht="48.75" customHeight="1">
      <c r="A19" s="2912" t="s">
        <v>99</v>
      </c>
      <c r="B19" s="2914" t="s">
        <v>3704</v>
      </c>
      <c r="C19" s="2914"/>
      <c r="D19" s="2914"/>
      <c r="E19" s="2914"/>
      <c r="F19" s="2914"/>
      <c r="G19" s="2914"/>
      <c r="H19" s="2914"/>
      <c r="I19" s="2914"/>
      <c r="J19" s="2914"/>
      <c r="K19" s="2914"/>
      <c r="L19" s="2914"/>
      <c r="M19" s="2914"/>
    </row>
    <row r="20" spans="1:13" ht="50.25" customHeight="1">
      <c r="A20" s="2912" t="s">
        <v>516</v>
      </c>
      <c r="B20" s="2913" t="s">
        <v>3480</v>
      </c>
      <c r="C20" s="2913"/>
      <c r="D20" s="2913"/>
      <c r="E20" s="2913"/>
      <c r="F20" s="2913"/>
      <c r="G20" s="2913"/>
      <c r="H20" s="2913"/>
      <c r="I20" s="2913"/>
      <c r="J20" s="2913"/>
      <c r="K20" s="2913"/>
      <c r="L20" s="2913"/>
      <c r="M20" s="2913"/>
    </row>
    <row r="21" spans="1:13" ht="31.5" customHeight="1">
      <c r="A21" s="2912" t="s">
        <v>517</v>
      </c>
      <c r="B21" s="2913" t="s">
        <v>3509</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3510</v>
      </c>
      <c r="C25" s="2913"/>
      <c r="D25" s="2913"/>
      <c r="E25" s="2913"/>
      <c r="F25" s="2913"/>
      <c r="G25" s="2913"/>
      <c r="H25" s="2913"/>
      <c r="I25" s="2913"/>
      <c r="J25" s="2913"/>
      <c r="K25" s="2913"/>
      <c r="L25" s="2913"/>
      <c r="M25" s="2913"/>
    </row>
    <row r="26" spans="1:13" ht="31.5" customHeight="1">
      <c r="A26" s="2912" t="s">
        <v>1478</v>
      </c>
      <c r="B26" s="2913" t="s">
        <v>3511</v>
      </c>
      <c r="C26" s="2913"/>
      <c r="D26" s="2913"/>
      <c r="E26" s="2913"/>
      <c r="F26" s="2913"/>
      <c r="G26" s="2913"/>
      <c r="H26" s="2913"/>
      <c r="I26" s="2913"/>
      <c r="J26" s="2913"/>
      <c r="K26" s="2913"/>
      <c r="L26" s="2913"/>
      <c r="M26" s="2913"/>
    </row>
    <row r="27" spans="1:13" ht="78.75" customHeight="1">
      <c r="A27" s="2912" t="s">
        <v>1478</v>
      </c>
      <c r="B27" s="2913" t="s">
        <v>2768</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2769</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1995</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KUbax1sQsuyvd0owsXOH75NA2RtHVFugj3MN/mqTIuVYW19+FR8IiiTLisALN/cHw+EtGSbeOxuyfuTw9l+OFg==" saltValue="wCq0SpYMLYD810WZ8rUMs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3063</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2802</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2863</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2424</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2399</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3379</v>
      </c>
      <c r="G14" s="2342"/>
      <c r="H14" s="2342"/>
      <c r="I14" s="2342"/>
      <c r="J14" s="2343"/>
      <c r="K14" s="290"/>
      <c r="L14" s="597" t="s">
        <v>3603</v>
      </c>
      <c r="M14" s="290"/>
      <c r="N14" s="2341" t="s">
        <v>3379</v>
      </c>
      <c r="O14" s="2342"/>
      <c r="P14" s="2342"/>
      <c r="Q14" s="2342"/>
      <c r="R14" s="2343"/>
      <c r="S14" s="301"/>
      <c r="T14" s="175"/>
      <c r="U14" s="175"/>
      <c r="V14" s="1056"/>
      <c r="W14" s="1056"/>
      <c r="X14" s="1056"/>
      <c r="AA14" s="536"/>
      <c r="AB14" s="536"/>
    </row>
    <row r="15" spans="1:28" s="280" customFormat="1" ht="11.45" customHeight="1">
      <c r="A15" s="177"/>
      <c r="D15" s="598" t="s">
        <v>2629</v>
      </c>
      <c r="E15" s="598" t="s">
        <v>1308</v>
      </c>
      <c r="F15" s="599">
        <v>0</v>
      </c>
      <c r="G15" s="600">
        <v>1</v>
      </c>
      <c r="H15" s="1600">
        <v>2</v>
      </c>
      <c r="I15" s="1600">
        <v>3</v>
      </c>
      <c r="J15" s="601" t="s">
        <v>3376</v>
      </c>
      <c r="L15" s="598" t="s">
        <v>2629</v>
      </c>
      <c r="M15" s="598" t="s">
        <v>1308</v>
      </c>
      <c r="N15" s="599">
        <v>0</v>
      </c>
      <c r="O15" s="600">
        <v>1</v>
      </c>
      <c r="P15" s="1600">
        <v>2</v>
      </c>
      <c r="Q15" s="1600">
        <v>3</v>
      </c>
      <c r="R15" s="601" t="s">
        <v>3376</v>
      </c>
      <c r="S15" s="301"/>
      <c r="T15" s="175"/>
      <c r="U15" s="175"/>
      <c r="V15" s="1056"/>
      <c r="W15" s="1056"/>
      <c r="X15" s="1056"/>
      <c r="AA15" s="536"/>
      <c r="AB15" s="536"/>
    </row>
    <row r="16" spans="1:28" s="280" customFormat="1" ht="11.45" customHeight="1">
      <c r="A16" s="177"/>
      <c r="C16" s="324"/>
      <c r="D16" s="1077" t="s">
        <v>1795</v>
      </c>
      <c r="E16" s="1077" t="s">
        <v>3378</v>
      </c>
      <c r="F16" s="1078">
        <v>129802</v>
      </c>
      <c r="G16" s="1078">
        <v>169579</v>
      </c>
      <c r="H16" s="1078">
        <v>205492</v>
      </c>
      <c r="I16" s="1078">
        <v>250678</v>
      </c>
      <c r="J16" s="1078">
        <v>294766</v>
      </c>
      <c r="L16" s="301" t="s">
        <v>1795</v>
      </c>
      <c r="M16" s="301" t="s">
        <v>3378</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3375</v>
      </c>
      <c r="F17" s="1078">
        <v>105598</v>
      </c>
      <c r="G17" s="1078">
        <v>147837</v>
      </c>
      <c r="H17" s="1078">
        <v>190077</v>
      </c>
      <c r="I17" s="1078">
        <v>253436</v>
      </c>
      <c r="J17" s="1078">
        <v>316794</v>
      </c>
      <c r="L17" s="301" t="s">
        <v>1795</v>
      </c>
      <c r="M17" s="301" t="s">
        <v>3375</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3373</v>
      </c>
      <c r="F18" s="1078">
        <v>119585</v>
      </c>
      <c r="G18" s="1078">
        <v>156306</v>
      </c>
      <c r="H18" s="1078">
        <v>189734</v>
      </c>
      <c r="I18" s="1078">
        <v>232306</v>
      </c>
      <c r="J18" s="1078">
        <v>275312</v>
      </c>
      <c r="L18" s="301" t="s">
        <v>1795</v>
      </c>
      <c r="M18" s="301" t="s">
        <v>3373</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3374</v>
      </c>
      <c r="F19" s="1078">
        <v>104164</v>
      </c>
      <c r="G19" s="1078">
        <v>144030</v>
      </c>
      <c r="H19" s="1078">
        <v>182870</v>
      </c>
      <c r="I19" s="1078">
        <v>239197</v>
      </c>
      <c r="J19" s="1078">
        <v>298135</v>
      </c>
      <c r="L19" s="301" t="s">
        <v>1795</v>
      </c>
      <c r="M19" s="301" t="s">
        <v>3374</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3378</v>
      </c>
      <c r="F20" s="1069">
        <v>128651</v>
      </c>
      <c r="G20" s="1069">
        <v>168262</v>
      </c>
      <c r="H20" s="1069">
        <v>204067</v>
      </c>
      <c r="I20" s="1069">
        <v>249250</v>
      </c>
      <c r="J20" s="1069">
        <v>293196</v>
      </c>
      <c r="L20" s="301" t="s">
        <v>167</v>
      </c>
      <c r="M20" s="301" t="s">
        <v>3378</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3375</v>
      </c>
      <c r="F21" s="1069">
        <v>104877</v>
      </c>
      <c r="G21" s="1069">
        <v>146828</v>
      </c>
      <c r="H21" s="1069">
        <v>188779</v>
      </c>
      <c r="I21" s="1069">
        <v>251705</v>
      </c>
      <c r="J21" s="1069">
        <v>314631</v>
      </c>
      <c r="L21" s="301" t="s">
        <v>167</v>
      </c>
      <c r="M21" s="301" t="s">
        <v>3375</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3373</v>
      </c>
      <c r="F22" s="1069">
        <v>118188</v>
      </c>
      <c r="G22" s="1069">
        <v>154670</v>
      </c>
      <c r="H22" s="1069">
        <v>187930</v>
      </c>
      <c r="I22" s="1069">
        <v>230437</v>
      </c>
      <c r="J22" s="1069">
        <v>273273</v>
      </c>
      <c r="L22" s="301" t="s">
        <v>167</v>
      </c>
      <c r="M22" s="301" t="s">
        <v>3373</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3374</v>
      </c>
      <c r="F23" s="1069">
        <v>102579</v>
      </c>
      <c r="G23" s="1069">
        <v>141768</v>
      </c>
      <c r="H23" s="1069">
        <v>179905</v>
      </c>
      <c r="I23" s="1069">
        <v>235133</v>
      </c>
      <c r="J23" s="1069">
        <v>293035</v>
      </c>
      <c r="L23" s="301" t="s">
        <v>167</v>
      </c>
      <c r="M23" s="301" t="s">
        <v>3374</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3378</v>
      </c>
      <c r="F24" s="1067">
        <v>140378</v>
      </c>
      <c r="G24" s="1067">
        <v>183548</v>
      </c>
      <c r="H24" s="1067">
        <v>222560</v>
      </c>
      <c r="I24" s="1067">
        <v>271753</v>
      </c>
      <c r="J24" s="1067">
        <v>319636</v>
      </c>
      <c r="L24" s="596" t="s">
        <v>1217</v>
      </c>
      <c r="M24" s="596" t="s">
        <v>3378</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3375</v>
      </c>
      <c r="F25" s="1067">
        <v>114378</v>
      </c>
      <c r="G25" s="1067">
        <v>160129</v>
      </c>
      <c r="H25" s="1067">
        <v>205881</v>
      </c>
      <c r="I25" s="1067">
        <v>274508</v>
      </c>
      <c r="J25" s="1067">
        <v>343134</v>
      </c>
      <c r="L25" s="596" t="s">
        <v>1217</v>
      </c>
      <c r="M25" s="596" t="s">
        <v>3375</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3373</v>
      </c>
      <c r="F26" s="1067">
        <v>129053</v>
      </c>
      <c r="G26" s="1067">
        <v>168837</v>
      </c>
      <c r="H26" s="1067">
        <v>205093</v>
      </c>
      <c r="I26" s="1067">
        <v>251390</v>
      </c>
      <c r="J26" s="1067">
        <v>298072</v>
      </c>
      <c r="L26" s="596" t="s">
        <v>1217</v>
      </c>
      <c r="M26" s="596" t="s">
        <v>3373</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3374</v>
      </c>
      <c r="F27" s="1067">
        <v>112110</v>
      </c>
      <c r="G27" s="1067">
        <v>154960</v>
      </c>
      <c r="H27" s="1067">
        <v>196671</v>
      </c>
      <c r="I27" s="1067">
        <v>257098</v>
      </c>
      <c r="J27" s="1067">
        <v>320417</v>
      </c>
      <c r="L27" s="596" t="s">
        <v>1217</v>
      </c>
      <c r="M27" s="596" t="s">
        <v>3374</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3378</v>
      </c>
      <c r="F28" s="1071">
        <v>132505</v>
      </c>
      <c r="G28" s="1071">
        <v>172926</v>
      </c>
      <c r="H28" s="1071">
        <v>209377</v>
      </c>
      <c r="I28" s="1071">
        <v>255107</v>
      </c>
      <c r="J28" s="1071">
        <v>299867</v>
      </c>
      <c r="L28" s="596" t="s">
        <v>1342</v>
      </c>
      <c r="M28" s="596" t="s">
        <v>3378</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3375</v>
      </c>
      <c r="F29" s="1071">
        <v>107584</v>
      </c>
      <c r="G29" s="1071">
        <v>150617</v>
      </c>
      <c r="H29" s="1071">
        <v>193650</v>
      </c>
      <c r="I29" s="1071">
        <v>258201</v>
      </c>
      <c r="J29" s="1071">
        <v>322751</v>
      </c>
      <c r="L29" s="596" t="s">
        <v>1342</v>
      </c>
      <c r="M29" s="596" t="s">
        <v>3375</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3373</v>
      </c>
      <c r="F30" s="1071">
        <v>122412</v>
      </c>
      <c r="G30" s="1071">
        <v>159813</v>
      </c>
      <c r="H30" s="1071">
        <v>193809</v>
      </c>
      <c r="I30" s="1071">
        <v>236957</v>
      </c>
      <c r="J30" s="1071">
        <v>280648</v>
      </c>
      <c r="L30" s="596" t="s">
        <v>1342</v>
      </c>
      <c r="M30" s="596" t="s">
        <v>3373</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3374</v>
      </c>
      <c r="F31" s="1071">
        <v>106994</v>
      </c>
      <c r="G31" s="1071">
        <v>148014</v>
      </c>
      <c r="H31" s="1071">
        <v>188019</v>
      </c>
      <c r="I31" s="1071">
        <v>246119</v>
      </c>
      <c r="J31" s="1071">
        <v>306798</v>
      </c>
      <c r="L31" s="596" t="s">
        <v>1342</v>
      </c>
      <c r="M31" s="596" t="s">
        <v>3374</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3378</v>
      </c>
      <c r="F32" s="906">
        <v>135971</v>
      </c>
      <c r="G32" s="906">
        <v>178050</v>
      </c>
      <c r="H32" s="906">
        <v>216136</v>
      </c>
      <c r="I32" s="906">
        <v>264350</v>
      </c>
      <c r="J32" s="906">
        <v>311082</v>
      </c>
      <c r="L32" s="1099" t="s">
        <v>1533</v>
      </c>
      <c r="M32" s="596" t="s">
        <v>3378</v>
      </c>
      <c r="N32" s="2897">
        <f t="shared" ref="N32:R35" si="1">ROUNDDOWN(F32*1.1,0)</f>
        <v>149568</v>
      </c>
      <c r="O32" s="2897">
        <f t="shared" si="1"/>
        <v>195855</v>
      </c>
      <c r="P32" s="2897">
        <f t="shared" si="1"/>
        <v>237749</v>
      </c>
      <c r="Q32" s="2897">
        <f t="shared" si="1"/>
        <v>290785</v>
      </c>
      <c r="R32" s="2897">
        <f t="shared" si="1"/>
        <v>342190</v>
      </c>
      <c r="S32" s="301"/>
      <c r="T32" s="175"/>
      <c r="U32" s="175"/>
      <c r="V32" s="1056"/>
      <c r="W32" s="1056"/>
      <c r="X32" s="1056"/>
      <c r="AA32" s="536"/>
      <c r="AB32" s="536"/>
    </row>
    <row r="33" spans="1:28" s="280" customFormat="1" ht="11.45" customHeight="1">
      <c r="A33" s="177"/>
      <c r="C33" s="324"/>
      <c r="D33" s="1099" t="s">
        <v>1533</v>
      </c>
      <c r="E33" s="1099" t="s">
        <v>3375</v>
      </c>
      <c r="F33" s="906">
        <v>111093</v>
      </c>
      <c r="G33" s="906">
        <v>155530</v>
      </c>
      <c r="H33" s="906">
        <v>199967</v>
      </c>
      <c r="I33" s="906">
        <v>266623</v>
      </c>
      <c r="J33" s="906">
        <v>333278</v>
      </c>
      <c r="L33" s="1099" t="s">
        <v>1533</v>
      </c>
      <c r="M33" s="596" t="s">
        <v>3375</v>
      </c>
      <c r="N33" s="2897">
        <f t="shared" si="1"/>
        <v>122202</v>
      </c>
      <c r="O33" s="2897">
        <f t="shared" si="1"/>
        <v>171083</v>
      </c>
      <c r="P33" s="2897">
        <f t="shared" si="1"/>
        <v>219963</v>
      </c>
      <c r="Q33" s="2897">
        <f t="shared" si="1"/>
        <v>293285</v>
      </c>
      <c r="R33" s="2897">
        <f t="shared" si="1"/>
        <v>366605</v>
      </c>
      <c r="S33" s="301"/>
      <c r="T33" s="175"/>
      <c r="U33" s="175"/>
      <c r="V33" s="1056"/>
      <c r="W33" s="1056"/>
      <c r="X33" s="1056"/>
      <c r="AA33" s="536"/>
      <c r="AB33" s="536"/>
    </row>
    <row r="34" spans="1:28" s="280" customFormat="1" ht="11.45" customHeight="1">
      <c r="A34" s="177"/>
      <c r="C34" s="324"/>
      <c r="D34" s="1099" t="s">
        <v>1533</v>
      </c>
      <c r="E34" s="1099" t="s">
        <v>3373</v>
      </c>
      <c r="F34" s="906">
        <v>124524</v>
      </c>
      <c r="G34" s="906">
        <v>163179</v>
      </c>
      <c r="H34" s="906">
        <v>198480</v>
      </c>
      <c r="I34" s="906">
        <v>243766</v>
      </c>
      <c r="J34" s="906">
        <v>289284</v>
      </c>
      <c r="L34" s="1099" t="s">
        <v>1533</v>
      </c>
      <c r="M34" s="596" t="s">
        <v>3373</v>
      </c>
      <c r="N34" s="2897">
        <f t="shared" si="1"/>
        <v>136976</v>
      </c>
      <c r="O34" s="2897">
        <f t="shared" si="1"/>
        <v>179496</v>
      </c>
      <c r="P34" s="2897">
        <f t="shared" si="1"/>
        <v>218328</v>
      </c>
      <c r="Q34" s="2897">
        <f t="shared" si="1"/>
        <v>268142</v>
      </c>
      <c r="R34" s="2897">
        <f t="shared" si="1"/>
        <v>318212</v>
      </c>
      <c r="S34" s="301"/>
      <c r="T34" s="175"/>
      <c r="U34" s="175"/>
      <c r="V34" s="1056"/>
      <c r="W34" s="1056"/>
      <c r="X34" s="1056"/>
      <c r="AA34" s="536"/>
      <c r="AB34" s="536"/>
    </row>
    <row r="35" spans="1:28" s="280" customFormat="1" ht="11.45" customHeight="1">
      <c r="A35" s="177"/>
      <c r="C35" s="324"/>
      <c r="D35" s="1099" t="s">
        <v>1533</v>
      </c>
      <c r="E35" s="1099" t="s">
        <v>3374</v>
      </c>
      <c r="F35" s="906">
        <v>107650</v>
      </c>
      <c r="G35" s="906">
        <v>148694</v>
      </c>
      <c r="H35" s="906">
        <v>188587</v>
      </c>
      <c r="I35" s="906">
        <v>246263</v>
      </c>
      <c r="J35" s="906">
        <v>306864</v>
      </c>
      <c r="L35" s="1099" t="s">
        <v>1533</v>
      </c>
      <c r="M35" s="596" t="s">
        <v>3374</v>
      </c>
      <c r="N35" s="2897">
        <f t="shared" si="1"/>
        <v>118415</v>
      </c>
      <c r="O35" s="2897">
        <f t="shared" si="1"/>
        <v>163563</v>
      </c>
      <c r="P35" s="2897">
        <f t="shared" si="1"/>
        <v>207445</v>
      </c>
      <c r="Q35" s="2897">
        <f t="shared" si="1"/>
        <v>270889</v>
      </c>
      <c r="R35" s="2897">
        <f t="shared" si="1"/>
        <v>337550</v>
      </c>
      <c r="S35" s="301"/>
      <c r="T35" s="175"/>
      <c r="U35" s="175"/>
      <c r="V35" s="1056"/>
      <c r="W35" s="1056"/>
      <c r="X35" s="1056"/>
      <c r="AA35" s="536"/>
      <c r="AB35" s="536"/>
    </row>
    <row r="36" spans="1:28" s="280" customFormat="1" ht="11.45" customHeight="1">
      <c r="A36" s="177"/>
      <c r="C36" s="324"/>
      <c r="D36" s="1072" t="s">
        <v>162</v>
      </c>
      <c r="E36" s="1072" t="s">
        <v>3378</v>
      </c>
      <c r="F36" s="1073">
        <v>130802</v>
      </c>
      <c r="G36" s="1073">
        <v>170775</v>
      </c>
      <c r="H36" s="1073">
        <v>206839</v>
      </c>
      <c r="I36" s="1073">
        <v>252134</v>
      </c>
      <c r="J36" s="1073">
        <v>296415</v>
      </c>
      <c r="L36" s="301" t="s">
        <v>162</v>
      </c>
      <c r="M36" s="301" t="s">
        <v>3378</v>
      </c>
      <c r="N36" s="2897">
        <f t="shared" ref="N36:R51" si="2">ROUNDDOWN(F36*1.1,0)</f>
        <v>143882</v>
      </c>
      <c r="O36" s="2897">
        <f t="shared" si="2"/>
        <v>187852</v>
      </c>
      <c r="P36" s="2897">
        <f t="shared" si="2"/>
        <v>227522</v>
      </c>
      <c r="Q36" s="2897">
        <f t="shared" si="2"/>
        <v>277347</v>
      </c>
      <c r="R36" s="2897">
        <f t="shared" si="2"/>
        <v>326056</v>
      </c>
      <c r="S36" s="301"/>
      <c r="T36" s="175"/>
      <c r="U36" s="175"/>
      <c r="V36" s="1056"/>
      <c r="W36" s="1056"/>
      <c r="X36" s="1056"/>
      <c r="AA36" s="536"/>
      <c r="AB36" s="536"/>
    </row>
    <row r="37" spans="1:28" s="280" customFormat="1" ht="11.45" customHeight="1">
      <c r="A37" s="177"/>
      <c r="C37" s="324"/>
      <c r="D37" s="1072" t="s">
        <v>162</v>
      </c>
      <c r="E37" s="1072" t="s">
        <v>3375</v>
      </c>
      <c r="F37" s="1073">
        <v>106284</v>
      </c>
      <c r="G37" s="1073">
        <v>148797</v>
      </c>
      <c r="H37" s="1073">
        <v>191311</v>
      </c>
      <c r="I37" s="1073">
        <v>255081</v>
      </c>
      <c r="J37" s="1073">
        <v>318851</v>
      </c>
      <c r="L37" s="301" t="s">
        <v>162</v>
      </c>
      <c r="M37" s="301" t="s">
        <v>3375</v>
      </c>
      <c r="N37" s="2897">
        <f t="shared" si="2"/>
        <v>116912</v>
      </c>
      <c r="O37" s="2897">
        <f t="shared" si="2"/>
        <v>163676</v>
      </c>
      <c r="P37" s="2897">
        <f t="shared" si="2"/>
        <v>210442</v>
      </c>
      <c r="Q37" s="2897">
        <f t="shared" si="2"/>
        <v>280589</v>
      </c>
      <c r="R37" s="2897">
        <f t="shared" si="2"/>
        <v>350736</v>
      </c>
      <c r="S37" s="301"/>
      <c r="T37" s="175"/>
      <c r="U37" s="175"/>
      <c r="V37" s="1056"/>
      <c r="W37" s="1056"/>
      <c r="X37" s="1056"/>
      <c r="AA37" s="536"/>
      <c r="AB37" s="536"/>
    </row>
    <row r="38" spans="1:28" s="280" customFormat="1" ht="11.45" customHeight="1">
      <c r="A38" s="177"/>
      <c r="C38" s="324"/>
      <c r="D38" s="1072" t="s">
        <v>162</v>
      </c>
      <c r="E38" s="1072" t="s">
        <v>3373</v>
      </c>
      <c r="F38" s="1073">
        <v>120709</v>
      </c>
      <c r="G38" s="1073">
        <v>157663</v>
      </c>
      <c r="H38" s="1073">
        <v>191271</v>
      </c>
      <c r="I38" s="1073">
        <v>233985</v>
      </c>
      <c r="J38" s="1073">
        <v>277195</v>
      </c>
      <c r="L38" s="301" t="s">
        <v>162</v>
      </c>
      <c r="M38" s="301" t="s">
        <v>3373</v>
      </c>
      <c r="N38" s="2897">
        <f t="shared" si="2"/>
        <v>132779</v>
      </c>
      <c r="O38" s="2897">
        <f t="shared" si="2"/>
        <v>173429</v>
      </c>
      <c r="P38" s="2897">
        <f t="shared" si="2"/>
        <v>210398</v>
      </c>
      <c r="Q38" s="2897">
        <f t="shared" si="2"/>
        <v>257383</v>
      </c>
      <c r="R38" s="2897">
        <f t="shared" si="2"/>
        <v>304914</v>
      </c>
      <c r="S38" s="301"/>
      <c r="T38" s="175"/>
      <c r="U38" s="175"/>
      <c r="V38" s="1056"/>
      <c r="W38" s="1056"/>
      <c r="X38" s="1056"/>
      <c r="AA38" s="536"/>
      <c r="AB38" s="536"/>
    </row>
    <row r="39" spans="1:28" s="280" customFormat="1" ht="11.45" customHeight="1">
      <c r="A39" s="177"/>
      <c r="C39" s="324"/>
      <c r="D39" s="1072" t="s">
        <v>162</v>
      </c>
      <c r="E39" s="1072" t="s">
        <v>3374</v>
      </c>
      <c r="F39" s="1073">
        <v>105363</v>
      </c>
      <c r="G39" s="1073">
        <v>145732</v>
      </c>
      <c r="H39" s="1073">
        <v>185085</v>
      </c>
      <c r="I39" s="1073">
        <v>242207</v>
      </c>
      <c r="J39" s="1073">
        <v>301908</v>
      </c>
      <c r="L39" s="301" t="s">
        <v>162</v>
      </c>
      <c r="M39" s="301" t="s">
        <v>3374</v>
      </c>
      <c r="N39" s="2897">
        <f t="shared" si="2"/>
        <v>115899</v>
      </c>
      <c r="O39" s="2897">
        <f t="shared" si="2"/>
        <v>160305</v>
      </c>
      <c r="P39" s="2897">
        <f t="shared" si="2"/>
        <v>203593</v>
      </c>
      <c r="Q39" s="2897">
        <f t="shared" si="2"/>
        <v>266427</v>
      </c>
      <c r="R39" s="2897">
        <f t="shared" si="2"/>
        <v>332098</v>
      </c>
      <c r="S39" s="301"/>
      <c r="T39" s="175"/>
      <c r="U39" s="175"/>
      <c r="V39" s="1056"/>
      <c r="W39" s="1056"/>
      <c r="X39" s="1056"/>
      <c r="AA39" s="536"/>
      <c r="AB39" s="536"/>
    </row>
    <row r="40" spans="1:28" s="280" customFormat="1" ht="11.45" customHeight="1">
      <c r="A40" s="177"/>
      <c r="C40" s="324"/>
      <c r="D40" s="1074" t="s">
        <v>1332</v>
      </c>
      <c r="E40" s="1074" t="s">
        <v>3378</v>
      </c>
      <c r="F40" s="1075">
        <v>127800</v>
      </c>
      <c r="G40" s="1075">
        <v>167186</v>
      </c>
      <c r="H40" s="1075">
        <v>202798</v>
      </c>
      <c r="I40" s="1075">
        <v>247764</v>
      </c>
      <c r="J40" s="1075">
        <v>291469</v>
      </c>
      <c r="L40" s="596" t="s">
        <v>1332</v>
      </c>
      <c r="M40" s="596" t="s">
        <v>3378</v>
      </c>
      <c r="N40" s="2897">
        <f t="shared" si="2"/>
        <v>140580</v>
      </c>
      <c r="O40" s="2897">
        <f t="shared" si="2"/>
        <v>183904</v>
      </c>
      <c r="P40" s="2897">
        <f t="shared" si="2"/>
        <v>223077</v>
      </c>
      <c r="Q40" s="2897">
        <f t="shared" si="2"/>
        <v>272540</v>
      </c>
      <c r="R40" s="2897">
        <f t="shared" si="2"/>
        <v>320615</v>
      </c>
      <c r="S40" s="301"/>
      <c r="T40" s="175"/>
      <c r="U40" s="175"/>
      <c r="V40" s="1056"/>
      <c r="W40" s="1056"/>
      <c r="X40" s="1056"/>
      <c r="AA40" s="536"/>
      <c r="AB40" s="536"/>
    </row>
    <row r="41" spans="1:28" s="280" customFormat="1" ht="11.45" customHeight="1">
      <c r="A41" s="177"/>
      <c r="C41" s="324"/>
      <c r="D41" s="1074" t="s">
        <v>1332</v>
      </c>
      <c r="E41" s="1074" t="s">
        <v>3375</v>
      </c>
      <c r="F41" s="1075">
        <v>104227</v>
      </c>
      <c r="G41" s="1075">
        <v>145918</v>
      </c>
      <c r="H41" s="1075">
        <v>187609</v>
      </c>
      <c r="I41" s="1075">
        <v>250145</v>
      </c>
      <c r="J41" s="1075">
        <v>312681</v>
      </c>
      <c r="L41" s="596" t="s">
        <v>1332</v>
      </c>
      <c r="M41" s="596" t="s">
        <v>3375</v>
      </c>
      <c r="N41" s="2897">
        <f t="shared" si="2"/>
        <v>114649</v>
      </c>
      <c r="O41" s="2897">
        <f t="shared" si="2"/>
        <v>160509</v>
      </c>
      <c r="P41" s="2897">
        <f t="shared" si="2"/>
        <v>206369</v>
      </c>
      <c r="Q41" s="2897">
        <f t="shared" si="2"/>
        <v>275159</v>
      </c>
      <c r="R41" s="2897">
        <f t="shared" si="2"/>
        <v>343949</v>
      </c>
      <c r="S41" s="301"/>
      <c r="T41" s="175"/>
      <c r="U41" s="175"/>
      <c r="V41" s="1056"/>
      <c r="W41" s="1056"/>
      <c r="X41" s="1056"/>
      <c r="AA41" s="536"/>
      <c r="AB41" s="536"/>
    </row>
    <row r="42" spans="1:28" s="280" customFormat="1" ht="11.45" customHeight="1">
      <c r="A42" s="177"/>
      <c r="C42" s="324"/>
      <c r="D42" s="1074" t="s">
        <v>1332</v>
      </c>
      <c r="E42" s="1074" t="s">
        <v>3373</v>
      </c>
      <c r="F42" s="1075">
        <v>117337</v>
      </c>
      <c r="G42" s="1075">
        <v>153594</v>
      </c>
      <c r="H42" s="1075">
        <v>186661</v>
      </c>
      <c r="I42" s="1075">
        <v>228950</v>
      </c>
      <c r="J42" s="1075">
        <v>271546</v>
      </c>
      <c r="L42" s="596" t="s">
        <v>1332</v>
      </c>
      <c r="M42" s="596" t="s">
        <v>3373</v>
      </c>
      <c r="N42" s="2897">
        <f t="shared" si="2"/>
        <v>129070</v>
      </c>
      <c r="O42" s="2897">
        <f t="shared" si="2"/>
        <v>168953</v>
      </c>
      <c r="P42" s="2897">
        <f t="shared" si="2"/>
        <v>205327</v>
      </c>
      <c r="Q42" s="2897">
        <f t="shared" si="2"/>
        <v>251845</v>
      </c>
      <c r="R42" s="2897">
        <f t="shared" si="2"/>
        <v>298700</v>
      </c>
      <c r="S42" s="301"/>
      <c r="T42" s="175"/>
      <c r="U42" s="175"/>
      <c r="V42" s="1056"/>
      <c r="W42" s="1056"/>
      <c r="X42" s="1056"/>
      <c r="AA42" s="536"/>
      <c r="AB42" s="536"/>
    </row>
    <row r="43" spans="1:28" s="280" customFormat="1" ht="11.45" customHeight="1">
      <c r="A43" s="177"/>
      <c r="C43" s="324"/>
      <c r="D43" s="1074" t="s">
        <v>1332</v>
      </c>
      <c r="E43" s="1074" t="s">
        <v>3374</v>
      </c>
      <c r="F43" s="1075">
        <v>101764</v>
      </c>
      <c r="G43" s="1075">
        <v>140627</v>
      </c>
      <c r="H43" s="1075">
        <v>178438</v>
      </c>
      <c r="I43" s="1075">
        <v>233177</v>
      </c>
      <c r="J43" s="1075">
        <v>290589</v>
      </c>
      <c r="L43" s="596" t="s">
        <v>1332</v>
      </c>
      <c r="M43" s="596" t="s">
        <v>3374</v>
      </c>
      <c r="N43" s="2897">
        <f t="shared" si="2"/>
        <v>111940</v>
      </c>
      <c r="O43" s="2897">
        <f t="shared" si="2"/>
        <v>154689</v>
      </c>
      <c r="P43" s="2897">
        <f t="shared" si="2"/>
        <v>196281</v>
      </c>
      <c r="Q43" s="2897">
        <f t="shared" si="2"/>
        <v>256494</v>
      </c>
      <c r="R43" s="2897">
        <f t="shared" si="2"/>
        <v>319647</v>
      </c>
      <c r="S43" s="301"/>
      <c r="T43" s="175"/>
      <c r="U43" s="175"/>
      <c r="V43" s="1056"/>
      <c r="W43" s="1056"/>
      <c r="X43" s="1056"/>
      <c r="AA43" s="536"/>
      <c r="AB43" s="536"/>
    </row>
    <row r="44" spans="1:28" s="280" customFormat="1" ht="11.45" customHeight="1">
      <c r="A44" s="177"/>
      <c r="C44" s="324"/>
      <c r="D44" s="1066" t="s">
        <v>1338</v>
      </c>
      <c r="E44" s="1066" t="s">
        <v>3378</v>
      </c>
      <c r="F44" s="1067">
        <v>135165</v>
      </c>
      <c r="G44" s="1067">
        <v>176624</v>
      </c>
      <c r="H44" s="1067">
        <v>214065</v>
      </c>
      <c r="I44" s="1067">
        <v>261200</v>
      </c>
      <c r="J44" s="1067">
        <v>307162</v>
      </c>
      <c r="L44" s="596" t="s">
        <v>1338</v>
      </c>
      <c r="M44" s="596" t="s">
        <v>3378</v>
      </c>
      <c r="N44" s="2897">
        <f t="shared" si="2"/>
        <v>148681</v>
      </c>
      <c r="O44" s="2897">
        <f t="shared" si="2"/>
        <v>194286</v>
      </c>
      <c r="P44" s="2897">
        <f t="shared" si="2"/>
        <v>235471</v>
      </c>
      <c r="Q44" s="2897">
        <f t="shared" si="2"/>
        <v>287320</v>
      </c>
      <c r="R44" s="2897">
        <f t="shared" si="2"/>
        <v>337878</v>
      </c>
      <c r="S44" s="301"/>
      <c r="T44" s="175"/>
      <c r="U44" s="175"/>
      <c r="V44" s="1056"/>
      <c r="W44" s="1056"/>
      <c r="X44" s="1056"/>
      <c r="AA44" s="536"/>
      <c r="AB44" s="536"/>
    </row>
    <row r="45" spans="1:28" s="280" customFormat="1" ht="11.45" customHeight="1">
      <c r="A45" s="177"/>
      <c r="C45" s="324"/>
      <c r="D45" s="1066" t="s">
        <v>1338</v>
      </c>
      <c r="E45" s="1066" t="s">
        <v>3375</v>
      </c>
      <c r="F45" s="1067">
        <v>110006</v>
      </c>
      <c r="G45" s="1067">
        <v>154008</v>
      </c>
      <c r="H45" s="1067">
        <v>198011</v>
      </c>
      <c r="I45" s="1067">
        <v>264014</v>
      </c>
      <c r="J45" s="1067">
        <v>330018</v>
      </c>
      <c r="L45" s="596" t="s">
        <v>1338</v>
      </c>
      <c r="M45" s="596" t="s">
        <v>3375</v>
      </c>
      <c r="N45" s="2897">
        <f t="shared" si="2"/>
        <v>121006</v>
      </c>
      <c r="O45" s="2897">
        <f t="shared" si="2"/>
        <v>169408</v>
      </c>
      <c r="P45" s="2897">
        <f t="shared" si="2"/>
        <v>217812</v>
      </c>
      <c r="Q45" s="2897">
        <f t="shared" si="2"/>
        <v>290415</v>
      </c>
      <c r="R45" s="2897">
        <f t="shared" si="2"/>
        <v>363019</v>
      </c>
      <c r="S45" s="301"/>
      <c r="T45" s="175"/>
      <c r="U45" s="175"/>
      <c r="V45" s="1056"/>
      <c r="W45" s="1056"/>
      <c r="X45" s="1056"/>
      <c r="AA45" s="536"/>
      <c r="AB45" s="536"/>
    </row>
    <row r="46" spans="1:28" s="280" customFormat="1" ht="11.45" customHeight="1">
      <c r="A46" s="177"/>
      <c r="C46" s="324"/>
      <c r="D46" s="1066" t="s">
        <v>1338</v>
      </c>
      <c r="E46" s="1066" t="s">
        <v>3373</v>
      </c>
      <c r="F46" s="1067">
        <v>124455</v>
      </c>
      <c r="G46" s="1067">
        <v>162712</v>
      </c>
      <c r="H46" s="1067">
        <v>197548</v>
      </c>
      <c r="I46" s="1067">
        <v>241944</v>
      </c>
      <c r="J46" s="1067">
        <v>286771</v>
      </c>
      <c r="L46" s="596" t="s">
        <v>1338</v>
      </c>
      <c r="M46" s="596" t="s">
        <v>3373</v>
      </c>
      <c r="N46" s="2897">
        <f t="shared" si="2"/>
        <v>136900</v>
      </c>
      <c r="O46" s="2897">
        <f t="shared" si="2"/>
        <v>178983</v>
      </c>
      <c r="P46" s="2897">
        <f t="shared" si="2"/>
        <v>217302</v>
      </c>
      <c r="Q46" s="2897">
        <f t="shared" si="2"/>
        <v>266138</v>
      </c>
      <c r="R46" s="2897">
        <f t="shared" si="2"/>
        <v>315448</v>
      </c>
      <c r="S46" s="301"/>
      <c r="T46" s="175"/>
      <c r="U46" s="175"/>
      <c r="V46" s="1056"/>
      <c r="W46" s="1056"/>
      <c r="X46" s="1056"/>
      <c r="AA46" s="536"/>
      <c r="AB46" s="536"/>
    </row>
    <row r="47" spans="1:28" s="280" customFormat="1" ht="11.45" customHeight="1">
      <c r="A47" s="177"/>
      <c r="C47" s="324"/>
      <c r="D47" s="1066" t="s">
        <v>1338</v>
      </c>
      <c r="E47" s="1066" t="s">
        <v>3374</v>
      </c>
      <c r="F47" s="1067">
        <v>108329</v>
      </c>
      <c r="G47" s="1067">
        <v>149776</v>
      </c>
      <c r="H47" s="1067">
        <v>190145</v>
      </c>
      <c r="I47" s="1067">
        <v>248674</v>
      </c>
      <c r="J47" s="1067">
        <v>309940</v>
      </c>
      <c r="L47" s="596" t="s">
        <v>1338</v>
      </c>
      <c r="M47" s="596" t="s">
        <v>3374</v>
      </c>
      <c r="N47" s="2897">
        <f t="shared" si="2"/>
        <v>119161</v>
      </c>
      <c r="O47" s="2897">
        <f t="shared" si="2"/>
        <v>164753</v>
      </c>
      <c r="P47" s="2897">
        <f t="shared" si="2"/>
        <v>209159</v>
      </c>
      <c r="Q47" s="2897">
        <f t="shared" si="2"/>
        <v>273541</v>
      </c>
      <c r="R47" s="2897">
        <f t="shared" si="2"/>
        <v>340934</v>
      </c>
      <c r="S47" s="301"/>
      <c r="T47" s="175"/>
      <c r="U47" s="175"/>
      <c r="V47" s="1056"/>
      <c r="W47" s="1056"/>
      <c r="X47" s="1056"/>
      <c r="AA47" s="536"/>
      <c r="AB47" s="536"/>
    </row>
    <row r="48" spans="1:28" s="280" customFormat="1" ht="11.45" customHeight="1">
      <c r="A48" s="177"/>
      <c r="C48" s="324"/>
      <c r="D48" s="1070" t="s">
        <v>1709</v>
      </c>
      <c r="E48" s="1070" t="s">
        <v>3378</v>
      </c>
      <c r="F48" s="1071">
        <v>122990</v>
      </c>
      <c r="G48" s="1071">
        <v>160975</v>
      </c>
      <c r="H48" s="1071">
        <v>195338</v>
      </c>
      <c r="I48" s="1071">
        <v>238786</v>
      </c>
      <c r="J48" s="1071">
        <v>280955</v>
      </c>
      <c r="L48" s="596" t="s">
        <v>1709</v>
      </c>
      <c r="M48" s="596" t="s">
        <v>3378</v>
      </c>
      <c r="N48" s="2897">
        <f t="shared" si="2"/>
        <v>135289</v>
      </c>
      <c r="O48" s="2897">
        <f t="shared" si="2"/>
        <v>177072</v>
      </c>
      <c r="P48" s="2897">
        <f t="shared" si="2"/>
        <v>214871</v>
      </c>
      <c r="Q48" s="2897">
        <f t="shared" si="2"/>
        <v>262664</v>
      </c>
      <c r="R48" s="2897">
        <f t="shared" si="2"/>
        <v>309050</v>
      </c>
      <c r="S48" s="301"/>
      <c r="T48" s="175"/>
      <c r="U48" s="175"/>
      <c r="V48" s="1056"/>
      <c r="W48" s="1056"/>
      <c r="X48" s="1056"/>
      <c r="AA48" s="536"/>
      <c r="AB48" s="536"/>
    </row>
    <row r="49" spans="1:28" s="280" customFormat="1" ht="11.45" customHeight="1">
      <c r="A49" s="177"/>
      <c r="C49" s="324"/>
      <c r="D49" s="1070" t="s">
        <v>1709</v>
      </c>
      <c r="E49" s="1070" t="s">
        <v>3375</v>
      </c>
      <c r="F49" s="1071">
        <v>100398</v>
      </c>
      <c r="G49" s="1071">
        <v>140558</v>
      </c>
      <c r="H49" s="1071">
        <v>180717</v>
      </c>
      <c r="I49" s="1071">
        <v>240956</v>
      </c>
      <c r="J49" s="1071">
        <v>301195</v>
      </c>
      <c r="L49" s="596" t="s">
        <v>1709</v>
      </c>
      <c r="M49" s="596" t="s">
        <v>3375</v>
      </c>
      <c r="N49" s="2897">
        <f t="shared" si="2"/>
        <v>110437</v>
      </c>
      <c r="O49" s="2897">
        <f t="shared" si="2"/>
        <v>154613</v>
      </c>
      <c r="P49" s="2897">
        <f t="shared" si="2"/>
        <v>198788</v>
      </c>
      <c r="Q49" s="2897">
        <f t="shared" si="2"/>
        <v>265051</v>
      </c>
      <c r="R49" s="2897">
        <f t="shared" si="2"/>
        <v>331314</v>
      </c>
      <c r="S49" s="301"/>
      <c r="T49" s="175"/>
      <c r="U49" s="175"/>
      <c r="V49" s="1056"/>
      <c r="W49" s="1056"/>
      <c r="X49" s="1056"/>
      <c r="AA49" s="536"/>
      <c r="AB49" s="536"/>
    </row>
    <row r="50" spans="1:28" s="280" customFormat="1" ht="11.45" customHeight="1">
      <c r="A50" s="177"/>
      <c r="C50" s="324"/>
      <c r="D50" s="1070" t="s">
        <v>1709</v>
      </c>
      <c r="E50" s="1070" t="s">
        <v>3373</v>
      </c>
      <c r="F50" s="1071">
        <v>112773</v>
      </c>
      <c r="G50" s="1071">
        <v>147703</v>
      </c>
      <c r="H50" s="1071">
        <v>179581</v>
      </c>
      <c r="I50" s="1071">
        <v>220415</v>
      </c>
      <c r="J50" s="1071">
        <v>261501</v>
      </c>
      <c r="L50" s="596" t="s">
        <v>1709</v>
      </c>
      <c r="M50" s="596" t="s">
        <v>3373</v>
      </c>
      <c r="N50" s="2897">
        <f t="shared" si="2"/>
        <v>124050</v>
      </c>
      <c r="O50" s="2897">
        <f t="shared" si="2"/>
        <v>162473</v>
      </c>
      <c r="P50" s="2897">
        <f t="shared" si="2"/>
        <v>197539</v>
      </c>
      <c r="Q50" s="2897">
        <f t="shared" si="2"/>
        <v>242456</v>
      </c>
      <c r="R50" s="2897">
        <f t="shared" si="2"/>
        <v>287651</v>
      </c>
      <c r="S50" s="301"/>
      <c r="T50" s="175"/>
      <c r="U50" s="175"/>
      <c r="V50" s="1056"/>
      <c r="W50" s="1056"/>
      <c r="X50" s="1056"/>
      <c r="AA50" s="536"/>
      <c r="AB50" s="536"/>
    </row>
    <row r="51" spans="1:28" s="280" customFormat="1" ht="11.45" customHeight="1">
      <c r="A51" s="177"/>
      <c r="C51" s="324"/>
      <c r="D51" s="1070" t="s">
        <v>1709</v>
      </c>
      <c r="E51" s="1070" t="s">
        <v>3374</v>
      </c>
      <c r="F51" s="1071">
        <v>97643</v>
      </c>
      <c r="G51" s="1071">
        <v>134902</v>
      </c>
      <c r="H51" s="1071">
        <v>171133</v>
      </c>
      <c r="I51" s="1071">
        <v>223548</v>
      </c>
      <c r="J51" s="1071">
        <v>278574</v>
      </c>
      <c r="L51" s="596" t="s">
        <v>1709</v>
      </c>
      <c r="M51" s="596" t="s">
        <v>3374</v>
      </c>
      <c r="N51" s="2897">
        <f t="shared" si="2"/>
        <v>107407</v>
      </c>
      <c r="O51" s="2897">
        <f t="shared" si="2"/>
        <v>148392</v>
      </c>
      <c r="P51" s="2897">
        <f t="shared" si="2"/>
        <v>188246</v>
      </c>
      <c r="Q51" s="2897">
        <f t="shared" si="2"/>
        <v>245902</v>
      </c>
      <c r="R51" s="2897">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2455</v>
      </c>
      <c r="L54" s="287" t="s">
        <v>2456</v>
      </c>
      <c r="M54" s="287" t="s">
        <v>2457</v>
      </c>
      <c r="N54" s="287" t="s">
        <v>2458</v>
      </c>
      <c r="O54" s="177"/>
      <c r="P54" s="175"/>
      <c r="Q54" s="178" t="s">
        <v>3063</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3063</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2615</v>
      </c>
      <c r="G62" s="177" t="s">
        <v>2629</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2628</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3978</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3451</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1976</v>
      </c>
      <c r="C72" s="177"/>
      <c r="D72" s="175"/>
      <c r="E72" s="175"/>
      <c r="F72" s="177" t="s">
        <v>1209</v>
      </c>
      <c r="G72" s="177"/>
      <c r="H72" s="175"/>
      <c r="I72" s="175"/>
      <c r="J72" s="177" t="s">
        <v>3979</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3979</v>
      </c>
      <c r="K73" s="177"/>
      <c r="L73" s="177"/>
      <c r="M73" s="177"/>
      <c r="N73" s="177"/>
      <c r="O73" s="177"/>
      <c r="P73" s="175"/>
      <c r="Q73" s="1611" t="s">
        <v>979</v>
      </c>
      <c r="R73" s="1611">
        <v>0.1</v>
      </c>
      <c r="S73" s="292"/>
      <c r="T73" s="292"/>
      <c r="U73" s="292"/>
      <c r="AA73" s="536"/>
      <c r="AB73" s="536"/>
    </row>
    <row r="74" spans="1:28" s="280" customFormat="1" ht="11.45" customHeight="1">
      <c r="A74" s="177"/>
      <c r="B74" s="177" t="s">
        <v>2053</v>
      </c>
      <c r="C74" s="177"/>
      <c r="D74" s="175"/>
      <c r="E74" s="175"/>
      <c r="F74" s="177" t="s">
        <v>1746</v>
      </c>
      <c r="G74" s="177"/>
      <c r="H74" s="175"/>
      <c r="I74" s="175"/>
      <c r="J74" s="177" t="s">
        <v>3980</v>
      </c>
      <c r="K74" s="177"/>
      <c r="L74" s="177"/>
      <c r="M74" s="177"/>
      <c r="N74" s="177"/>
      <c r="O74" s="177"/>
      <c r="P74" s="175"/>
      <c r="Q74" s="291" t="s">
        <v>1746</v>
      </c>
      <c r="R74" s="1611">
        <v>0.06</v>
      </c>
      <c r="S74" s="292"/>
      <c r="T74" s="292"/>
      <c r="U74" s="292"/>
      <c r="AA74" s="536"/>
      <c r="AB74" s="536"/>
    </row>
    <row r="75" spans="1:28" s="280" customFormat="1" ht="11.45" customHeight="1">
      <c r="A75" s="177"/>
      <c r="B75" s="177" t="s">
        <v>2054</v>
      </c>
      <c r="C75" s="177"/>
      <c r="D75" s="175"/>
      <c r="E75" s="175"/>
      <c r="F75" s="177" t="s">
        <v>1746</v>
      </c>
      <c r="G75" s="177"/>
      <c r="H75" s="175"/>
      <c r="I75" s="175"/>
      <c r="J75" s="177" t="s">
        <v>3980</v>
      </c>
      <c r="K75" s="177"/>
      <c r="L75" s="177"/>
      <c r="M75" s="177"/>
      <c r="N75" s="177"/>
      <c r="O75" s="177"/>
      <c r="P75" s="175"/>
      <c r="Q75" s="291" t="s">
        <v>1746</v>
      </c>
      <c r="R75" s="1611">
        <v>0.02</v>
      </c>
      <c r="S75" s="292"/>
      <c r="T75" s="292"/>
      <c r="U75" s="292"/>
      <c r="AA75" s="536"/>
      <c r="AB75" s="536"/>
    </row>
    <row r="76" spans="1:28" s="280" customFormat="1" ht="11.45" customHeight="1">
      <c r="A76" s="177"/>
      <c r="B76" s="177" t="s">
        <v>2834</v>
      </c>
      <c r="C76" s="177"/>
      <c r="D76" s="175"/>
      <c r="E76" s="175"/>
      <c r="F76" s="177" t="s">
        <v>1746</v>
      </c>
      <c r="G76" s="177"/>
      <c r="H76" s="175"/>
      <c r="I76" s="175"/>
      <c r="J76" s="177" t="s">
        <v>3980</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3501</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3988</v>
      </c>
      <c r="G80" s="177"/>
      <c r="H80" s="175"/>
      <c r="I80" s="175"/>
      <c r="J80" s="179" t="s">
        <v>3984</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3985</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3986</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3987</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3459</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3982</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2698</v>
      </c>
      <c r="I93" s="305"/>
      <c r="J93" s="179" t="s">
        <v>1542</v>
      </c>
      <c r="K93" s="179" t="s">
        <v>3912</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3460</v>
      </c>
      <c r="I96" s="175"/>
      <c r="J96" s="177" t="s">
        <v>3461</v>
      </c>
      <c r="K96" s="177"/>
      <c r="L96" s="177" t="s">
        <v>2838</v>
      </c>
      <c r="M96" s="177"/>
      <c r="N96" s="177"/>
      <c r="O96" s="177"/>
      <c r="P96" s="175"/>
      <c r="Q96" s="2330">
        <v>75</v>
      </c>
      <c r="R96" s="2331"/>
      <c r="S96" s="292"/>
      <c r="T96" s="292"/>
      <c r="U96" s="292"/>
      <c r="AA96" s="536"/>
      <c r="AB96" s="536"/>
    </row>
    <row r="97" spans="1:28" s="280" customFormat="1" ht="13.5">
      <c r="A97" s="177"/>
      <c r="B97" s="177" t="s">
        <v>1875</v>
      </c>
      <c r="C97" s="177"/>
      <c r="D97" s="1212" t="s">
        <v>3981</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3437</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2310</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2386</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2387</v>
      </c>
      <c r="K105" s="177"/>
      <c r="L105" s="177"/>
      <c r="M105" s="177"/>
      <c r="N105" s="177"/>
      <c r="O105" s="177"/>
      <c r="P105" s="175"/>
      <c r="Q105" s="2333" t="s">
        <v>2388</v>
      </c>
      <c r="R105" s="2334"/>
      <c r="S105" s="292"/>
      <c r="T105" s="292"/>
      <c r="U105" s="292"/>
      <c r="AA105" s="536"/>
      <c r="AB105" s="536"/>
    </row>
    <row r="106" spans="1:28" s="280" customFormat="1" ht="13.5">
      <c r="A106" s="177"/>
      <c r="B106" s="397"/>
      <c r="C106" s="177"/>
      <c r="D106" s="175"/>
      <c r="E106" s="175"/>
      <c r="F106" s="177" t="s">
        <v>2048</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2047</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2049</v>
      </c>
      <c r="C110" s="177"/>
      <c r="D110" s="175"/>
      <c r="E110" s="175"/>
      <c r="F110" s="177"/>
      <c r="G110" s="177"/>
      <c r="I110" s="175"/>
      <c r="J110" s="177" t="s">
        <v>2050</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3502</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3063</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513</v>
      </c>
      <c r="G126" s="177"/>
      <c r="H126" s="177" t="s">
        <v>2616</v>
      </c>
      <c r="I126" s="175"/>
      <c r="J126" s="177" t="s">
        <v>2696</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3928</v>
      </c>
      <c r="I127" s="175"/>
      <c r="J127" s="177" t="s">
        <v>3929</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3922</v>
      </c>
      <c r="I128" s="175"/>
      <c r="J128" s="177" t="s">
        <v>3930</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3931</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2424</v>
      </c>
      <c r="G130" s="177"/>
      <c r="H130" s="177" t="s">
        <v>2695</v>
      </c>
      <c r="I130" s="175"/>
      <c r="J130" s="177" t="s">
        <v>3977</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2329">
        <v>0.35</v>
      </c>
      <c r="R133" s="2329"/>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2329" t="s">
        <v>2837</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4231</v>
      </c>
      <c r="E151" s="292"/>
      <c r="F151" s="292"/>
    </row>
    <row r="152" spans="2:30" ht="10.5" customHeight="1">
      <c r="C152" s="2337"/>
      <c r="E152" s="292"/>
      <c r="F152" s="292"/>
    </row>
    <row r="153" spans="2:30" ht="10.5" customHeight="1">
      <c r="C153" s="2337"/>
      <c r="D153" s="1356" t="s">
        <v>3990</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2784</v>
      </c>
      <c r="N154" s="583" t="s">
        <v>3920</v>
      </c>
      <c r="O154" s="583" t="s">
        <v>4350</v>
      </c>
      <c r="P154" s="581" t="s">
        <v>2417</v>
      </c>
      <c r="Q154" s="581"/>
      <c r="R154" s="177"/>
      <c r="S154" s="403"/>
      <c r="T154" s="584" t="s">
        <v>624</v>
      </c>
      <c r="U154" s="585" t="s">
        <v>625</v>
      </c>
      <c r="W154" s="617" t="s">
        <v>3408</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2628</v>
      </c>
      <c r="K155" s="1081" t="s">
        <v>1168</v>
      </c>
      <c r="L155" s="1082" t="s">
        <v>425</v>
      </c>
      <c r="M155" s="2900" t="s">
        <v>2615</v>
      </c>
      <c r="N155" s="2900" t="s">
        <v>1338</v>
      </c>
      <c r="O155" s="2901" t="s">
        <v>4351</v>
      </c>
      <c r="P155" s="586" t="s">
        <v>1534</v>
      </c>
      <c r="Q155" s="301"/>
      <c r="R155" s="177"/>
      <c r="S155" s="403"/>
      <c r="T155" s="525" t="s">
        <v>2418</v>
      </c>
      <c r="U155" s="525" t="s">
        <v>1965</v>
      </c>
      <c r="W155" s="446" t="s">
        <v>2418</v>
      </c>
      <c r="X155" s="446" t="s">
        <v>3409</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2628</v>
      </c>
      <c r="K156" s="1081" t="s">
        <v>1169</v>
      </c>
      <c r="L156" s="1082" t="s">
        <v>425</v>
      </c>
      <c r="M156" s="2900" t="s">
        <v>2615</v>
      </c>
      <c r="N156" s="2900" t="s">
        <v>1709</v>
      </c>
      <c r="O156" s="2901" t="s">
        <v>4352</v>
      </c>
      <c r="P156" s="586" t="s">
        <v>1536</v>
      </c>
      <c r="Q156" s="301"/>
      <c r="R156" s="177"/>
      <c r="S156" s="403"/>
      <c r="T156" s="525" t="s">
        <v>1535</v>
      </c>
      <c r="U156" s="525" t="s">
        <v>2501</v>
      </c>
      <c r="W156" s="446" t="s">
        <v>1535</v>
      </c>
      <c r="X156" s="446" t="s">
        <v>3409</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2628</v>
      </c>
      <c r="K157" s="1081" t="s">
        <v>1170</v>
      </c>
      <c r="L157" s="1082" t="s">
        <v>425</v>
      </c>
      <c r="M157" s="2900" t="s">
        <v>2615</v>
      </c>
      <c r="N157" s="2900" t="s">
        <v>1709</v>
      </c>
      <c r="O157" s="2901" t="s">
        <v>4353</v>
      </c>
      <c r="P157" s="586" t="s">
        <v>466</v>
      </c>
      <c r="Q157" s="301"/>
      <c r="R157" s="177"/>
      <c r="S157" s="403"/>
      <c r="T157" s="525" t="s">
        <v>954</v>
      </c>
      <c r="U157" s="525" t="s">
        <v>1326</v>
      </c>
      <c r="W157" s="446" t="s">
        <v>954</v>
      </c>
      <c r="X157" s="446" t="s">
        <v>3409</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2629</v>
      </c>
      <c r="K158" s="1081" t="s">
        <v>1171</v>
      </c>
      <c r="L158" s="1082" t="s">
        <v>426</v>
      </c>
      <c r="M158" s="2900" t="s">
        <v>1207</v>
      </c>
      <c r="N158" s="2900" t="s">
        <v>1795</v>
      </c>
      <c r="O158" s="2901" t="s">
        <v>4354</v>
      </c>
      <c r="P158" s="586" t="s">
        <v>2095</v>
      </c>
      <c r="Q158" s="301"/>
      <c r="R158" s="177"/>
      <c r="S158" s="403"/>
      <c r="T158" s="525" t="s">
        <v>467</v>
      </c>
      <c r="U158" s="525" t="s">
        <v>2545</v>
      </c>
      <c r="W158" s="446" t="s">
        <v>2096</v>
      </c>
      <c r="X158" s="446" t="s">
        <v>3409</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2628</v>
      </c>
      <c r="K159" s="1081" t="s">
        <v>1172</v>
      </c>
      <c r="L159" s="1082" t="s">
        <v>425</v>
      </c>
      <c r="M159" s="2900" t="s">
        <v>2615</v>
      </c>
      <c r="N159" s="2900" t="s">
        <v>1332</v>
      </c>
      <c r="O159" s="2901" t="s">
        <v>4355</v>
      </c>
      <c r="P159" s="586" t="s">
        <v>2097</v>
      </c>
      <c r="Q159" s="301"/>
      <c r="R159" s="177"/>
      <c r="S159" s="403"/>
      <c r="T159" s="525" t="s">
        <v>2096</v>
      </c>
      <c r="U159" s="525" t="s">
        <v>334</v>
      </c>
      <c r="W159" s="446" t="s">
        <v>2100</v>
      </c>
      <c r="X159" s="446" t="s">
        <v>3409</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2628</v>
      </c>
      <c r="K160" s="1081" t="s">
        <v>1836</v>
      </c>
      <c r="L160" s="1082" t="s">
        <v>425</v>
      </c>
      <c r="M160" s="2900" t="s">
        <v>2615</v>
      </c>
      <c r="N160" s="2900" t="s">
        <v>167</v>
      </c>
      <c r="O160" s="2901" t="s">
        <v>4356</v>
      </c>
      <c r="P160" s="586" t="s">
        <v>2099</v>
      </c>
      <c r="Q160" s="301"/>
      <c r="R160" s="177"/>
      <c r="S160" s="403"/>
      <c r="T160" s="525" t="s">
        <v>2098</v>
      </c>
      <c r="U160" s="525" t="s">
        <v>185</v>
      </c>
      <c r="W160" s="446" t="s">
        <v>1795</v>
      </c>
      <c r="X160" s="446" t="s">
        <v>3409</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2629</v>
      </c>
      <c r="K161" s="1081" t="s">
        <v>2592</v>
      </c>
      <c r="L161" s="1082" t="s">
        <v>426</v>
      </c>
      <c r="M161" s="2900" t="s">
        <v>1207</v>
      </c>
      <c r="N161" s="2900" t="s">
        <v>1217</v>
      </c>
      <c r="O161" s="2901" t="s">
        <v>4357</v>
      </c>
      <c r="P161" s="586" t="s">
        <v>2101</v>
      </c>
      <c r="Q161" s="301"/>
      <c r="R161" s="177"/>
      <c r="S161" s="403"/>
      <c r="T161" s="525" t="s">
        <v>2100</v>
      </c>
      <c r="U161" s="525" t="s">
        <v>113</v>
      </c>
      <c r="W161" s="446" t="s">
        <v>448</v>
      </c>
      <c r="X161" s="446" t="s">
        <v>3409</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2629</v>
      </c>
      <c r="K162" s="1081" t="s">
        <v>2592</v>
      </c>
      <c r="L162" s="1082" t="s">
        <v>426</v>
      </c>
      <c r="M162" s="2900" t="s">
        <v>1207</v>
      </c>
      <c r="N162" s="2900" t="s">
        <v>1217</v>
      </c>
      <c r="O162" s="2901" t="s">
        <v>4358</v>
      </c>
      <c r="P162" s="586" t="s">
        <v>2103</v>
      </c>
      <c r="Q162" s="301"/>
      <c r="R162" s="177"/>
      <c r="S162" s="403"/>
      <c r="T162" s="525" t="s">
        <v>2102</v>
      </c>
      <c r="U162" s="525" t="s">
        <v>1329</v>
      </c>
      <c r="W162" s="446" t="s">
        <v>450</v>
      </c>
      <c r="X162" s="446" t="s">
        <v>3409</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2628</v>
      </c>
      <c r="K163" s="1081" t="s">
        <v>2593</v>
      </c>
      <c r="L163" s="1082" t="s">
        <v>425</v>
      </c>
      <c r="M163" s="2900" t="s">
        <v>2615</v>
      </c>
      <c r="N163" s="2900" t="s">
        <v>1795</v>
      </c>
      <c r="O163" s="2901" t="s">
        <v>4359</v>
      </c>
      <c r="P163" s="586" t="s">
        <v>1977</v>
      </c>
      <c r="Q163" s="546"/>
      <c r="R163" s="177"/>
      <c r="S163" s="403"/>
      <c r="T163" s="525" t="s">
        <v>1795</v>
      </c>
      <c r="U163" s="525" t="s">
        <v>964</v>
      </c>
      <c r="W163" s="446" t="s">
        <v>1861</v>
      </c>
      <c r="X163" s="446" t="s">
        <v>3409</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2628</v>
      </c>
      <c r="K164" s="1081" t="s">
        <v>2594</v>
      </c>
      <c r="L164" s="1082" t="s">
        <v>425</v>
      </c>
      <c r="M164" s="2900" t="s">
        <v>2615</v>
      </c>
      <c r="N164" s="2900" t="s">
        <v>1709</v>
      </c>
      <c r="O164" s="2901" t="s">
        <v>4360</v>
      </c>
      <c r="P164" s="586" t="s">
        <v>181</v>
      </c>
      <c r="Q164" s="546"/>
      <c r="R164" s="292"/>
      <c r="S164" s="403"/>
      <c r="T164" s="525" t="s">
        <v>1978</v>
      </c>
      <c r="U164" s="525" t="s">
        <v>431</v>
      </c>
      <c r="W164" s="446" t="s">
        <v>2564</v>
      </c>
      <c r="X164" s="446" t="s">
        <v>3409</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2629</v>
      </c>
      <c r="K165" s="1081" t="s">
        <v>2595</v>
      </c>
      <c r="L165" s="1082" t="s">
        <v>426</v>
      </c>
      <c r="M165" s="2900" t="s">
        <v>1207</v>
      </c>
      <c r="N165" s="2900" t="s">
        <v>1332</v>
      </c>
      <c r="O165" s="2901" t="s">
        <v>4361</v>
      </c>
      <c r="P165" s="586" t="s">
        <v>183</v>
      </c>
      <c r="Q165" s="546"/>
      <c r="R165" s="177"/>
      <c r="S165" s="403"/>
      <c r="T165" s="525" t="s">
        <v>182</v>
      </c>
      <c r="U165" s="525" t="s">
        <v>1468</v>
      </c>
      <c r="W165" s="446" t="s">
        <v>2570</v>
      </c>
      <c r="X165" s="446" t="s">
        <v>3409</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2628</v>
      </c>
      <c r="K166" s="1081" t="s">
        <v>2596</v>
      </c>
      <c r="L166" s="1082" t="s">
        <v>425</v>
      </c>
      <c r="M166" s="2900" t="s">
        <v>2615</v>
      </c>
      <c r="N166" s="2900" t="s">
        <v>1332</v>
      </c>
      <c r="O166" s="2901" t="s">
        <v>4362</v>
      </c>
      <c r="P166" s="586" t="s">
        <v>447</v>
      </c>
      <c r="Q166" s="301"/>
      <c r="R166" s="177"/>
      <c r="S166" s="403"/>
      <c r="T166" s="525" t="s">
        <v>184</v>
      </c>
      <c r="U166" s="525" t="s">
        <v>2414</v>
      </c>
      <c r="W166" s="446" t="s">
        <v>2575</v>
      </c>
      <c r="X166" s="446" t="s">
        <v>3409</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2629</v>
      </c>
      <c r="K167" s="1081" t="s">
        <v>2597</v>
      </c>
      <c r="L167" s="1082" t="s">
        <v>426</v>
      </c>
      <c r="M167" s="2900" t="s">
        <v>1207</v>
      </c>
      <c r="N167" s="2900" t="s">
        <v>1709</v>
      </c>
      <c r="O167" s="2901" t="s">
        <v>4363</v>
      </c>
      <c r="P167" s="586" t="s">
        <v>449</v>
      </c>
      <c r="Q167" s="301"/>
      <c r="R167" s="177"/>
      <c r="S167" s="403"/>
      <c r="T167" s="525" t="s">
        <v>448</v>
      </c>
      <c r="U167" s="525" t="s">
        <v>1792</v>
      </c>
      <c r="W167" s="446" t="s">
        <v>167</v>
      </c>
      <c r="X167" s="446" t="s">
        <v>3409</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2629</v>
      </c>
      <c r="K168" s="1081" t="s">
        <v>2598</v>
      </c>
      <c r="L168" s="1082" t="s">
        <v>426</v>
      </c>
      <c r="M168" s="2900" t="s">
        <v>1207</v>
      </c>
      <c r="N168" s="2900" t="s">
        <v>1709</v>
      </c>
      <c r="O168" s="2901" t="s">
        <v>4364</v>
      </c>
      <c r="P168" s="586" t="s">
        <v>451</v>
      </c>
      <c r="Q168" s="301"/>
      <c r="R168" s="177"/>
      <c r="S168" s="403"/>
      <c r="T168" s="525" t="s">
        <v>450</v>
      </c>
      <c r="U168" s="525" t="s">
        <v>1218</v>
      </c>
      <c r="W168" s="446" t="s">
        <v>1217</v>
      </c>
      <c r="X168" s="446" t="s">
        <v>3409</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2629</v>
      </c>
      <c r="K169" s="1081" t="s">
        <v>1475</v>
      </c>
      <c r="L169" s="1082" t="s">
        <v>426</v>
      </c>
      <c r="M169" s="2900" t="s">
        <v>1207</v>
      </c>
      <c r="N169" s="2900" t="s">
        <v>1338</v>
      </c>
      <c r="O169" s="2901" t="s">
        <v>4365</v>
      </c>
      <c r="P169" s="586" t="s">
        <v>453</v>
      </c>
      <c r="Q169" s="301"/>
      <c r="R169" s="177"/>
      <c r="S169" s="403"/>
      <c r="T169" s="525" t="s">
        <v>452</v>
      </c>
      <c r="U169" s="525" t="s">
        <v>185</v>
      </c>
      <c r="W169" s="446" t="s">
        <v>2086</v>
      </c>
      <c r="X169" s="446" t="s">
        <v>3409</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2628</v>
      </c>
      <c r="K170" s="1081" t="s">
        <v>2613</v>
      </c>
      <c r="L170" s="1082" t="s">
        <v>425</v>
      </c>
      <c r="M170" s="2900" t="s">
        <v>2615</v>
      </c>
      <c r="N170" s="2900" t="s">
        <v>1338</v>
      </c>
      <c r="O170" s="2901" t="s">
        <v>4366</v>
      </c>
      <c r="P170" s="586" t="s">
        <v>2277</v>
      </c>
      <c r="Q170" s="301"/>
      <c r="R170" s="177"/>
      <c r="S170" s="403"/>
      <c r="T170" s="525" t="s">
        <v>454</v>
      </c>
      <c r="U170" s="525" t="s">
        <v>123</v>
      </c>
      <c r="W170" s="446" t="s">
        <v>1342</v>
      </c>
      <c r="X170" s="446" t="s">
        <v>3409</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2629</v>
      </c>
      <c r="K171" s="1081" t="s">
        <v>2614</v>
      </c>
      <c r="L171" s="1082" t="s">
        <v>426</v>
      </c>
      <c r="M171" s="2900" t="s">
        <v>2615</v>
      </c>
      <c r="N171" s="2900" t="s">
        <v>1342</v>
      </c>
      <c r="O171" s="2901" t="s">
        <v>4367</v>
      </c>
      <c r="P171" s="586" t="s">
        <v>2279</v>
      </c>
      <c r="Q171" s="301"/>
      <c r="R171" s="177"/>
      <c r="S171" s="403"/>
      <c r="T171" s="525" t="s">
        <v>2278</v>
      </c>
      <c r="U171" s="525" t="s">
        <v>2502</v>
      </c>
      <c r="W171" s="446" t="s">
        <v>2089</v>
      </c>
      <c r="X171" s="446" t="s">
        <v>3409</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2629</v>
      </c>
      <c r="K172" s="1081" t="s">
        <v>1269</v>
      </c>
      <c r="L172" s="1082" t="s">
        <v>426</v>
      </c>
      <c r="M172" s="2900" t="s">
        <v>2615</v>
      </c>
      <c r="N172" s="2900" t="s">
        <v>1217</v>
      </c>
      <c r="O172" s="2901" t="s">
        <v>4368</v>
      </c>
      <c r="P172" s="586" t="s">
        <v>370</v>
      </c>
      <c r="Q172" s="301"/>
      <c r="R172" s="177"/>
      <c r="S172" s="403"/>
      <c r="T172" s="525" t="s">
        <v>1861</v>
      </c>
      <c r="U172" s="525" t="s">
        <v>2192</v>
      </c>
      <c r="W172" s="446" t="s">
        <v>2122</v>
      </c>
      <c r="X172" s="446" t="s">
        <v>3409</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2628</v>
      </c>
      <c r="K173" s="1081" t="s">
        <v>1270</v>
      </c>
      <c r="L173" s="1082" t="s">
        <v>425</v>
      </c>
      <c r="M173" s="2900" t="s">
        <v>2615</v>
      </c>
      <c r="N173" s="2900" t="s">
        <v>1795</v>
      </c>
      <c r="O173" s="2901" t="s">
        <v>4369</v>
      </c>
      <c r="P173" s="586" t="s">
        <v>372</v>
      </c>
      <c r="Q173" s="301"/>
      <c r="R173" s="177"/>
      <c r="S173" s="403"/>
      <c r="T173" s="525" t="s">
        <v>371</v>
      </c>
      <c r="U173" s="525" t="s">
        <v>2192</v>
      </c>
      <c r="W173" s="446" t="s">
        <v>2126</v>
      </c>
      <c r="X173" s="446" t="s">
        <v>3409</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2628</v>
      </c>
      <c r="K174" s="1081" t="s">
        <v>1271</v>
      </c>
      <c r="L174" s="1082" t="s">
        <v>425</v>
      </c>
      <c r="M174" s="2900" t="s">
        <v>2615</v>
      </c>
      <c r="N174" s="2900" t="s">
        <v>1709</v>
      </c>
      <c r="O174" s="2901" t="s">
        <v>4370</v>
      </c>
      <c r="P174" s="586" t="s">
        <v>2561</v>
      </c>
      <c r="Q174" s="301"/>
      <c r="R174" s="177"/>
      <c r="S174" s="403"/>
      <c r="T174" s="525" t="s">
        <v>1222</v>
      </c>
      <c r="U174" s="525" t="s">
        <v>2544</v>
      </c>
      <c r="W174" s="446" t="s">
        <v>1796</v>
      </c>
      <c r="X174" s="446" t="s">
        <v>3409</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2628</v>
      </c>
      <c r="K175" s="1081" t="s">
        <v>1724</v>
      </c>
      <c r="L175" s="1082" t="s">
        <v>425</v>
      </c>
      <c r="M175" s="2900" t="s">
        <v>2615</v>
      </c>
      <c r="N175" s="2900" t="s">
        <v>1338</v>
      </c>
      <c r="O175" s="2901" t="s">
        <v>4371</v>
      </c>
      <c r="P175" s="586" t="s">
        <v>2563</v>
      </c>
      <c r="Q175" s="301"/>
      <c r="R175" s="177"/>
      <c r="S175" s="403"/>
      <c r="T175" s="525" t="s">
        <v>2562</v>
      </c>
      <c r="U175" s="525" t="s">
        <v>2549</v>
      </c>
      <c r="W175" s="446" t="s">
        <v>1016</v>
      </c>
      <c r="X175" s="446" t="s">
        <v>3409</v>
      </c>
      <c r="Z175" s="446"/>
      <c r="AA175" s="28"/>
      <c r="AB175" s="28"/>
      <c r="AC175" s="997"/>
      <c r="AD175" s="536"/>
    </row>
    <row r="176" spans="2:30" ht="10.5" customHeight="1">
      <c r="B176" s="292"/>
      <c r="C176" s="393" t="s">
        <v>2497</v>
      </c>
      <c r="D176" s="460">
        <v>30400</v>
      </c>
      <c r="E176" s="292"/>
      <c r="F176" s="292" t="s">
        <v>867</v>
      </c>
      <c r="G176" s="1079" t="s">
        <v>741</v>
      </c>
      <c r="H176" s="1079" t="s">
        <v>1323</v>
      </c>
      <c r="I176" s="1083" t="s">
        <v>772</v>
      </c>
      <c r="J176" s="1083" t="s">
        <v>2629</v>
      </c>
      <c r="K176" s="1081" t="s">
        <v>2592</v>
      </c>
      <c r="L176" s="1082" t="s">
        <v>426</v>
      </c>
      <c r="M176" s="2900" t="s">
        <v>1207</v>
      </c>
      <c r="N176" s="2900" t="s">
        <v>1217</v>
      </c>
      <c r="O176" s="2901" t="s">
        <v>4372</v>
      </c>
      <c r="P176" s="586" t="s">
        <v>2565</v>
      </c>
      <c r="Q176" s="301"/>
      <c r="R176" s="177"/>
      <c r="S176" s="403"/>
      <c r="T176" s="525" t="s">
        <v>2564</v>
      </c>
      <c r="U176" s="525" t="s">
        <v>1107</v>
      </c>
      <c r="W176" s="446" t="s">
        <v>2460</v>
      </c>
      <c r="X176" s="446" t="s">
        <v>3409</v>
      </c>
      <c r="Z176" s="446"/>
      <c r="AA176" s="28"/>
      <c r="AB176" s="28"/>
      <c r="AC176" s="997"/>
      <c r="AD176" s="536"/>
    </row>
    <row r="177" spans="2:30" ht="10.5" customHeight="1">
      <c r="B177" s="292"/>
      <c r="C177" s="394" t="s">
        <v>2500</v>
      </c>
      <c r="D177" s="460">
        <v>43800</v>
      </c>
      <c r="E177" s="292"/>
      <c r="F177" s="292" t="s">
        <v>868</v>
      </c>
      <c r="G177" s="1079" t="s">
        <v>1532</v>
      </c>
      <c r="H177" s="1079" t="s">
        <v>1323</v>
      </c>
      <c r="I177" s="1083" t="s">
        <v>1533</v>
      </c>
      <c r="J177" s="1083" t="s">
        <v>2629</v>
      </c>
      <c r="K177" s="1081" t="s">
        <v>1693</v>
      </c>
      <c r="L177" s="1082" t="s">
        <v>426</v>
      </c>
      <c r="M177" s="2900" t="s">
        <v>2615</v>
      </c>
      <c r="N177" s="2900" t="s">
        <v>1533</v>
      </c>
      <c r="O177" s="2901" t="s">
        <v>4373</v>
      </c>
      <c r="P177" s="586" t="s">
        <v>2567</v>
      </c>
      <c r="Q177" s="301"/>
      <c r="R177" s="177"/>
      <c r="S177" s="403"/>
      <c r="T177" s="525" t="s">
        <v>2566</v>
      </c>
      <c r="U177" s="525" t="s">
        <v>325</v>
      </c>
      <c r="W177" s="446" t="s">
        <v>2462</v>
      </c>
      <c r="X177" s="446" t="s">
        <v>3409</v>
      </c>
      <c r="Z177" s="446"/>
      <c r="AA177" s="28"/>
      <c r="AB177" s="28"/>
      <c r="AC177" s="997"/>
      <c r="AD177" s="536"/>
    </row>
    <row r="178" spans="2:30" ht="10.5" customHeight="1">
      <c r="B178" s="292"/>
      <c r="C178" s="394" t="s">
        <v>2503</v>
      </c>
      <c r="D178" s="460">
        <v>43400</v>
      </c>
      <c r="E178" s="292"/>
      <c r="F178" s="292" t="s">
        <v>869</v>
      </c>
      <c r="G178" s="1079" t="s">
        <v>158</v>
      </c>
      <c r="H178" s="1079" t="s">
        <v>1223</v>
      </c>
      <c r="I178" s="1080" t="s">
        <v>159</v>
      </c>
      <c r="J178" s="1080" t="s">
        <v>2628</v>
      </c>
      <c r="K178" s="1081" t="s">
        <v>1694</v>
      </c>
      <c r="L178" s="1082" t="s">
        <v>425</v>
      </c>
      <c r="M178" s="2900" t="s">
        <v>2615</v>
      </c>
      <c r="N178" s="2900" t="s">
        <v>1709</v>
      </c>
      <c r="O178" s="2901" t="s">
        <v>4374</v>
      </c>
      <c r="P178" s="586" t="s">
        <v>2569</v>
      </c>
      <c r="Q178" s="301"/>
      <c r="R178" s="177"/>
      <c r="S178" s="403"/>
      <c r="T178" s="525" t="s">
        <v>2568</v>
      </c>
      <c r="U178" s="525" t="s">
        <v>2499</v>
      </c>
      <c r="W178" s="446" t="s">
        <v>2464</v>
      </c>
      <c r="X178" s="446" t="s">
        <v>3409</v>
      </c>
      <c r="Z178" s="446"/>
      <c r="AA178" s="28"/>
      <c r="AB178" s="28"/>
      <c r="AC178" s="997"/>
      <c r="AD178" s="536"/>
    </row>
    <row r="179" spans="2:30" ht="10.5" customHeight="1">
      <c r="B179" s="292"/>
      <c r="C179" s="394" t="s">
        <v>2543</v>
      </c>
      <c r="D179" s="460">
        <v>39400</v>
      </c>
      <c r="E179" s="292"/>
      <c r="F179" s="292" t="s">
        <v>870</v>
      </c>
      <c r="G179" s="1079" t="s">
        <v>160</v>
      </c>
      <c r="H179" s="1079" t="s">
        <v>1223</v>
      </c>
      <c r="I179" s="1083" t="s">
        <v>1338</v>
      </c>
      <c r="J179" s="1083" t="s">
        <v>2629</v>
      </c>
      <c r="K179" s="1081" t="s">
        <v>1475</v>
      </c>
      <c r="L179" s="1082" t="s">
        <v>426</v>
      </c>
      <c r="M179" s="2900" t="s">
        <v>1207</v>
      </c>
      <c r="N179" s="2900" t="s">
        <v>1338</v>
      </c>
      <c r="O179" s="2901" t="s">
        <v>4375</v>
      </c>
      <c r="P179" s="586" t="s">
        <v>2571</v>
      </c>
      <c r="Q179" s="301"/>
      <c r="R179" s="177"/>
      <c r="S179" s="403"/>
      <c r="T179" s="525" t="s">
        <v>2570</v>
      </c>
      <c r="U179" s="525" t="s">
        <v>1344</v>
      </c>
      <c r="W179" s="446" t="s">
        <v>2467</v>
      </c>
      <c r="X179" s="446" t="s">
        <v>3409</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2629</v>
      </c>
      <c r="K180" s="1081" t="s">
        <v>1695</v>
      </c>
      <c r="L180" s="1082" t="s">
        <v>426</v>
      </c>
      <c r="M180" s="2900" t="s">
        <v>2615</v>
      </c>
      <c r="N180" s="2900" t="s">
        <v>162</v>
      </c>
      <c r="O180" s="2901" t="s">
        <v>4376</v>
      </c>
      <c r="P180" s="586" t="s">
        <v>2572</v>
      </c>
      <c r="Q180" s="301"/>
      <c r="R180" s="177"/>
      <c r="S180" s="403"/>
      <c r="T180" s="525" t="s">
        <v>2573</v>
      </c>
      <c r="U180" s="525" t="s">
        <v>2607</v>
      </c>
      <c r="W180" s="446" t="s">
        <v>2246</v>
      </c>
      <c r="X180" s="446" t="s">
        <v>3409</v>
      </c>
      <c r="Z180" s="446"/>
      <c r="AA180" s="28"/>
      <c r="AB180" s="28"/>
      <c r="AC180" s="997"/>
      <c r="AD180" s="536"/>
    </row>
    <row r="181" spans="2:30" ht="10.5" customHeight="1">
      <c r="B181" s="292"/>
      <c r="C181" s="394" t="s">
        <v>2546</v>
      </c>
      <c r="D181" s="460">
        <v>43800</v>
      </c>
      <c r="E181" s="292"/>
      <c r="F181" s="292" t="s">
        <v>1354</v>
      </c>
      <c r="G181" s="1079" t="s">
        <v>163</v>
      </c>
      <c r="H181" s="1079" t="s">
        <v>1323</v>
      </c>
      <c r="I181" s="1080" t="s">
        <v>164</v>
      </c>
      <c r="J181" s="1080" t="s">
        <v>2628</v>
      </c>
      <c r="K181" s="1081" t="s">
        <v>1696</v>
      </c>
      <c r="L181" s="1082" t="s">
        <v>425</v>
      </c>
      <c r="M181" s="2900" t="s">
        <v>2615</v>
      </c>
      <c r="N181" s="2900" t="s">
        <v>1533</v>
      </c>
      <c r="O181" s="2901" t="s">
        <v>4377</v>
      </c>
      <c r="P181" s="586" t="s">
        <v>2574</v>
      </c>
      <c r="Q181" s="301"/>
      <c r="R181" s="177"/>
      <c r="S181" s="403"/>
      <c r="T181" s="525" t="s">
        <v>2575</v>
      </c>
      <c r="U181" s="525" t="s">
        <v>1931</v>
      </c>
      <c r="W181" s="446" t="s">
        <v>2346</v>
      </c>
      <c r="X181" s="446" t="s">
        <v>3409</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2629</v>
      </c>
      <c r="K182" s="1081" t="s">
        <v>2592</v>
      </c>
      <c r="L182" s="1082" t="s">
        <v>426</v>
      </c>
      <c r="M182" s="2900" t="s">
        <v>1207</v>
      </c>
      <c r="N182" s="2900" t="s">
        <v>1217</v>
      </c>
      <c r="O182" s="2901" t="s">
        <v>4378</v>
      </c>
      <c r="P182" s="586" t="s">
        <v>419</v>
      </c>
      <c r="Q182" s="301"/>
      <c r="R182" s="177"/>
      <c r="S182" s="403"/>
      <c r="T182" s="525" t="s">
        <v>167</v>
      </c>
      <c r="U182" s="525" t="s">
        <v>166</v>
      </c>
      <c r="W182" s="446" t="s">
        <v>307</v>
      </c>
      <c r="X182" s="446" t="s">
        <v>3409</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2058</v>
      </c>
      <c r="J183" s="1080" t="s">
        <v>2629</v>
      </c>
      <c r="K183" s="1081" t="s">
        <v>626</v>
      </c>
      <c r="L183" s="1082" t="s">
        <v>426</v>
      </c>
      <c r="M183" s="2902" t="s">
        <v>1207</v>
      </c>
      <c r="N183" s="2902" t="s">
        <v>167</v>
      </c>
      <c r="O183" s="2901" t="s">
        <v>4379</v>
      </c>
      <c r="P183" s="586" t="s">
        <v>420</v>
      </c>
      <c r="Q183" s="301"/>
      <c r="R183" s="292"/>
      <c r="S183" s="403"/>
      <c r="T183" s="525" t="s">
        <v>1217</v>
      </c>
      <c r="U183" s="525" t="s">
        <v>1218</v>
      </c>
      <c r="W183" s="446" t="s">
        <v>11</v>
      </c>
      <c r="X183" s="446" t="s">
        <v>3409</v>
      </c>
      <c r="Z183" s="446"/>
      <c r="AA183" s="28"/>
      <c r="AB183" s="28"/>
      <c r="AC183" s="997"/>
      <c r="AD183" s="536"/>
    </row>
    <row r="184" spans="2:30" ht="10.5" customHeight="1">
      <c r="B184" s="292"/>
      <c r="C184" s="393" t="s">
        <v>199</v>
      </c>
      <c r="D184" s="460">
        <v>44300</v>
      </c>
      <c r="E184" s="292"/>
      <c r="F184" s="292" t="s">
        <v>1357</v>
      </c>
      <c r="G184" s="1079" t="s">
        <v>2496</v>
      </c>
      <c r="H184" s="1079" t="s">
        <v>1223</v>
      </c>
      <c r="I184" s="1080" t="s">
        <v>2497</v>
      </c>
      <c r="J184" s="1080" t="s">
        <v>2628</v>
      </c>
      <c r="K184" s="1081" t="s">
        <v>627</v>
      </c>
      <c r="L184" s="1082" t="s">
        <v>425</v>
      </c>
      <c r="M184" s="2902" t="s">
        <v>2615</v>
      </c>
      <c r="N184" s="2902" t="s">
        <v>1795</v>
      </c>
      <c r="O184" s="2901" t="s">
        <v>4380</v>
      </c>
      <c r="P184" s="586" t="s">
        <v>786</v>
      </c>
      <c r="Q184" s="546"/>
      <c r="R184" s="177"/>
      <c r="S184" s="403"/>
      <c r="T184" s="525" t="s">
        <v>787</v>
      </c>
      <c r="U184" s="525" t="s">
        <v>198</v>
      </c>
      <c r="W184" s="446" t="s">
        <v>13</v>
      </c>
      <c r="X184" s="446" t="s">
        <v>3409</v>
      </c>
      <c r="Z184" s="446"/>
      <c r="AA184" s="28"/>
      <c r="AB184" s="28"/>
      <c r="AC184" s="997"/>
      <c r="AD184" s="536"/>
    </row>
    <row r="185" spans="2:30" ht="10.5" customHeight="1">
      <c r="B185" s="292"/>
      <c r="C185" s="393" t="s">
        <v>961</v>
      </c>
      <c r="D185" s="460">
        <v>49300</v>
      </c>
      <c r="E185" s="292"/>
      <c r="F185" s="292" t="s">
        <v>1358</v>
      </c>
      <c r="G185" s="1079" t="s">
        <v>2498</v>
      </c>
      <c r="H185" s="1079" t="s">
        <v>1323</v>
      </c>
      <c r="I185" s="1083" t="s">
        <v>772</v>
      </c>
      <c r="J185" s="1083" t="s">
        <v>2629</v>
      </c>
      <c r="K185" s="1081" t="s">
        <v>2592</v>
      </c>
      <c r="L185" s="1082" t="s">
        <v>426</v>
      </c>
      <c r="M185" s="2900" t="s">
        <v>1207</v>
      </c>
      <c r="N185" s="2900" t="s">
        <v>1217</v>
      </c>
      <c r="O185" s="2901" t="s">
        <v>4381</v>
      </c>
      <c r="P185" s="586" t="s">
        <v>788</v>
      </c>
      <c r="Q185" s="546"/>
      <c r="R185" s="177"/>
      <c r="S185" s="403"/>
      <c r="T185" s="525" t="s">
        <v>2086</v>
      </c>
      <c r="U185" s="525" t="s">
        <v>1325</v>
      </c>
      <c r="W185" s="446" t="s">
        <v>60</v>
      </c>
      <c r="X185" s="446" t="s">
        <v>3409</v>
      </c>
      <c r="Z185" s="446"/>
      <c r="AA185" s="28"/>
      <c r="AB185" s="28"/>
      <c r="AC185" s="997"/>
      <c r="AD185" s="536"/>
    </row>
    <row r="186" spans="2:30" ht="10.5" customHeight="1">
      <c r="B186" s="292"/>
      <c r="C186" s="394" t="s">
        <v>963</v>
      </c>
      <c r="D186" s="460">
        <v>38100</v>
      </c>
      <c r="E186" s="292"/>
      <c r="F186" s="292" t="s">
        <v>1359</v>
      </c>
      <c r="G186" s="1079" t="s">
        <v>2499</v>
      </c>
      <c r="H186" s="1079" t="s">
        <v>1223</v>
      </c>
      <c r="I186" s="1080" t="s">
        <v>2500</v>
      </c>
      <c r="J186" s="1080" t="s">
        <v>2628</v>
      </c>
      <c r="K186" s="1081" t="s">
        <v>628</v>
      </c>
      <c r="L186" s="1082" t="s">
        <v>425</v>
      </c>
      <c r="M186" s="2902" t="s">
        <v>2615</v>
      </c>
      <c r="N186" s="2902" t="s">
        <v>1709</v>
      </c>
      <c r="O186" s="2901" t="s">
        <v>4382</v>
      </c>
      <c r="P186" s="586" t="s">
        <v>2087</v>
      </c>
      <c r="Q186" s="546"/>
      <c r="R186" s="177"/>
      <c r="S186" s="403"/>
      <c r="T186" s="525" t="s">
        <v>1342</v>
      </c>
      <c r="U186" s="525" t="s">
        <v>1119</v>
      </c>
      <c r="W186" s="446" t="s">
        <v>62</v>
      </c>
      <c r="X186" s="446" t="s">
        <v>3409</v>
      </c>
      <c r="Z186" s="446"/>
      <c r="AA186" s="28"/>
      <c r="AB186" s="28"/>
      <c r="AC186" s="997"/>
      <c r="AD186" s="536"/>
    </row>
    <row r="187" spans="2:30" ht="10.5" customHeight="1">
      <c r="B187" s="292"/>
      <c r="C187" s="393" t="s">
        <v>884</v>
      </c>
      <c r="D187" s="460">
        <v>43700</v>
      </c>
      <c r="E187" s="292"/>
      <c r="F187" s="292" t="s">
        <v>1360</v>
      </c>
      <c r="G187" s="1079" t="s">
        <v>2501</v>
      </c>
      <c r="H187" s="1079" t="s">
        <v>1323</v>
      </c>
      <c r="I187" s="1083" t="s">
        <v>772</v>
      </c>
      <c r="J187" s="1083" t="s">
        <v>2629</v>
      </c>
      <c r="K187" s="1081" t="s">
        <v>2592</v>
      </c>
      <c r="L187" s="1082" t="s">
        <v>426</v>
      </c>
      <c r="M187" s="2900" t="s">
        <v>1207</v>
      </c>
      <c r="N187" s="2900" t="s">
        <v>1217</v>
      </c>
      <c r="O187" s="2901" t="s">
        <v>4383</v>
      </c>
      <c r="P187" s="586" t="s">
        <v>2088</v>
      </c>
      <c r="Q187" s="546"/>
      <c r="R187" s="177"/>
      <c r="S187" s="403"/>
      <c r="T187" s="525" t="s">
        <v>2089</v>
      </c>
      <c r="U187" s="525" t="s">
        <v>2501</v>
      </c>
      <c r="W187" s="446" t="s">
        <v>354</v>
      </c>
      <c r="X187" s="446" t="s">
        <v>3409</v>
      </c>
      <c r="Z187" s="446"/>
      <c r="AA187" s="28"/>
      <c r="AB187" s="28"/>
      <c r="AC187" s="997"/>
      <c r="AD187" s="536"/>
    </row>
    <row r="188" spans="2:30" ht="10.5" customHeight="1">
      <c r="B188" s="292"/>
      <c r="C188" s="394" t="s">
        <v>888</v>
      </c>
      <c r="D188" s="460">
        <v>43600</v>
      </c>
      <c r="E188" s="292"/>
      <c r="F188" s="292" t="s">
        <v>1361</v>
      </c>
      <c r="G188" s="1079" t="s">
        <v>2502</v>
      </c>
      <c r="H188" s="1079" t="s">
        <v>1223</v>
      </c>
      <c r="I188" s="1080" t="s">
        <v>2503</v>
      </c>
      <c r="J188" s="1080" t="s">
        <v>2628</v>
      </c>
      <c r="K188" s="1081" t="s">
        <v>629</v>
      </c>
      <c r="L188" s="1082" t="s">
        <v>425</v>
      </c>
      <c r="M188" s="2902" t="s">
        <v>2615</v>
      </c>
      <c r="N188" s="2902" t="s">
        <v>1709</v>
      </c>
      <c r="O188" s="2901" t="s">
        <v>4384</v>
      </c>
      <c r="P188" s="586" t="s">
        <v>2090</v>
      </c>
      <c r="Q188" s="546"/>
      <c r="R188" s="177"/>
      <c r="S188" s="403"/>
      <c r="T188" s="525" t="s">
        <v>2014</v>
      </c>
      <c r="U188" s="525" t="s">
        <v>2188</v>
      </c>
      <c r="W188" s="446" t="s">
        <v>358</v>
      </c>
      <c r="X188" s="446" t="s">
        <v>3409</v>
      </c>
      <c r="Z188" s="446"/>
      <c r="AA188" s="28"/>
      <c r="AB188" s="28"/>
      <c r="AC188" s="997"/>
      <c r="AD188" s="536"/>
    </row>
    <row r="189" spans="2:30" ht="10.5" customHeight="1">
      <c r="B189" s="292"/>
      <c r="C189" s="394" t="s">
        <v>2258</v>
      </c>
      <c r="D189" s="460">
        <v>39000</v>
      </c>
      <c r="E189" s="292"/>
      <c r="F189" s="292" t="s">
        <v>1362</v>
      </c>
      <c r="G189" s="1079" t="s">
        <v>2504</v>
      </c>
      <c r="H189" s="1079" t="s">
        <v>1223</v>
      </c>
      <c r="I189" s="1080" t="s">
        <v>2543</v>
      </c>
      <c r="J189" s="1080" t="s">
        <v>2628</v>
      </c>
      <c r="K189" s="1081" t="s">
        <v>630</v>
      </c>
      <c r="L189" s="1082" t="s">
        <v>425</v>
      </c>
      <c r="M189" s="2902" t="s">
        <v>2615</v>
      </c>
      <c r="N189" s="2902" t="s">
        <v>1795</v>
      </c>
      <c r="O189" s="2901" t="s">
        <v>4385</v>
      </c>
      <c r="P189" s="586" t="s">
        <v>2121</v>
      </c>
      <c r="Q189" s="546"/>
      <c r="R189" s="177"/>
      <c r="S189" s="403"/>
      <c r="T189" s="525" t="s">
        <v>2091</v>
      </c>
      <c r="U189" s="525" t="s">
        <v>330</v>
      </c>
      <c r="W189" s="446" t="s">
        <v>2305</v>
      </c>
      <c r="X189" s="446" t="s">
        <v>3409</v>
      </c>
      <c r="Z189" s="446"/>
      <c r="AA189" s="28"/>
      <c r="AB189" s="28"/>
      <c r="AC189" s="997"/>
      <c r="AD189" s="536"/>
    </row>
    <row r="190" spans="2:30" ht="10.5" customHeight="1">
      <c r="B190" s="292"/>
      <c r="C190" s="394" t="s">
        <v>660</v>
      </c>
      <c r="D190" s="460">
        <v>48400</v>
      </c>
      <c r="E190" s="292"/>
      <c r="F190" s="292" t="s">
        <v>1363</v>
      </c>
      <c r="G190" s="1079" t="s">
        <v>2544</v>
      </c>
      <c r="H190" s="1079" t="s">
        <v>1323</v>
      </c>
      <c r="I190" s="1083" t="s">
        <v>773</v>
      </c>
      <c r="J190" s="1083" t="s">
        <v>2629</v>
      </c>
      <c r="K190" s="1081" t="s">
        <v>2614</v>
      </c>
      <c r="L190" s="1082" t="s">
        <v>426</v>
      </c>
      <c r="M190" s="2900" t="s">
        <v>2615</v>
      </c>
      <c r="N190" s="2900" t="s">
        <v>1342</v>
      </c>
      <c r="O190" s="2901" t="s">
        <v>4386</v>
      </c>
      <c r="P190" s="586" t="s">
        <v>2123</v>
      </c>
      <c r="Q190" s="546"/>
      <c r="R190" s="177"/>
      <c r="S190" s="403"/>
      <c r="T190" s="525" t="s">
        <v>2122</v>
      </c>
      <c r="U190" s="525" t="s">
        <v>634</v>
      </c>
      <c r="W190" s="446" t="s">
        <v>1344</v>
      </c>
      <c r="X190" s="446" t="s">
        <v>3409</v>
      </c>
      <c r="Z190" s="446"/>
      <c r="AA190" s="28"/>
      <c r="AB190" s="28"/>
      <c r="AC190" s="997"/>
      <c r="AD190" s="536"/>
    </row>
    <row r="191" spans="2:30" ht="10.5" customHeight="1">
      <c r="B191" s="292"/>
      <c r="C191" s="394" t="s">
        <v>662</v>
      </c>
      <c r="D191" s="460">
        <v>42700</v>
      </c>
      <c r="E191" s="292"/>
      <c r="F191" s="292" t="s">
        <v>1364</v>
      </c>
      <c r="G191" s="1079" t="s">
        <v>2545</v>
      </c>
      <c r="H191" s="1079" t="s">
        <v>1223</v>
      </c>
      <c r="I191" s="1080" t="s">
        <v>2546</v>
      </c>
      <c r="J191" s="1080" t="s">
        <v>2628</v>
      </c>
      <c r="K191" s="1081" t="s">
        <v>631</v>
      </c>
      <c r="L191" s="1082" t="s">
        <v>425</v>
      </c>
      <c r="M191" s="2902" t="s">
        <v>2615</v>
      </c>
      <c r="N191" s="2902" t="s">
        <v>1709</v>
      </c>
      <c r="O191" s="2901" t="s">
        <v>4387</v>
      </c>
      <c r="P191" s="586" t="s">
        <v>2125</v>
      </c>
      <c r="Q191" s="546"/>
      <c r="R191" s="177"/>
      <c r="S191" s="403"/>
      <c r="T191" s="525" t="s">
        <v>2124</v>
      </c>
      <c r="U191" s="525" t="s">
        <v>1646</v>
      </c>
      <c r="W191" s="446" t="s">
        <v>1572</v>
      </c>
      <c r="X191" s="446" t="s">
        <v>3409</v>
      </c>
      <c r="Z191" s="446"/>
      <c r="AA191" s="28"/>
      <c r="AB191" s="28"/>
      <c r="AC191" s="997"/>
      <c r="AD191" s="536"/>
    </row>
    <row r="192" spans="2:30" ht="10.5" customHeight="1">
      <c r="B192" s="292"/>
      <c r="C192" s="394" t="s">
        <v>667</v>
      </c>
      <c r="D192" s="460">
        <v>47200</v>
      </c>
      <c r="E192" s="292"/>
      <c r="F192" s="292" t="s">
        <v>1365</v>
      </c>
      <c r="G192" s="1079" t="s">
        <v>2547</v>
      </c>
      <c r="H192" s="1079" t="s">
        <v>1323</v>
      </c>
      <c r="I192" s="1083" t="s">
        <v>772</v>
      </c>
      <c r="J192" s="1083" t="s">
        <v>2629</v>
      </c>
      <c r="K192" s="1081" t="s">
        <v>2592</v>
      </c>
      <c r="L192" s="1082" t="s">
        <v>426</v>
      </c>
      <c r="M192" s="2900" t="s">
        <v>1207</v>
      </c>
      <c r="N192" s="2900" t="s">
        <v>1217</v>
      </c>
      <c r="O192" s="2901" t="s">
        <v>4388</v>
      </c>
      <c r="P192" s="586" t="s">
        <v>2127</v>
      </c>
      <c r="Q192" s="546"/>
      <c r="R192" s="177"/>
      <c r="S192" s="403"/>
      <c r="T192" s="525" t="s">
        <v>2126</v>
      </c>
      <c r="U192" s="525" t="s">
        <v>198</v>
      </c>
      <c r="W192" s="446" t="s">
        <v>1576</v>
      </c>
      <c r="X192" s="446" t="s">
        <v>3409</v>
      </c>
      <c r="Z192" s="446"/>
      <c r="AA192" s="28"/>
      <c r="AB192" s="28"/>
      <c r="AC192" s="997"/>
      <c r="AD192" s="536"/>
    </row>
    <row r="193" spans="2:30" ht="10.5" customHeight="1">
      <c r="B193" s="292"/>
      <c r="C193" s="394" t="s">
        <v>1233</v>
      </c>
      <c r="D193" s="460">
        <v>61700</v>
      </c>
      <c r="E193" s="292"/>
      <c r="F193" s="292" t="s">
        <v>1366</v>
      </c>
      <c r="G193" s="1079" t="s">
        <v>2548</v>
      </c>
      <c r="H193" s="1079" t="s">
        <v>1323</v>
      </c>
      <c r="I193" s="1083" t="s">
        <v>1332</v>
      </c>
      <c r="J193" s="1083" t="s">
        <v>2629</v>
      </c>
      <c r="K193" s="1081" t="s">
        <v>2595</v>
      </c>
      <c r="L193" s="1082" t="s">
        <v>426</v>
      </c>
      <c r="M193" s="2900" t="s">
        <v>2615</v>
      </c>
      <c r="N193" s="2900" t="s">
        <v>1332</v>
      </c>
      <c r="O193" s="2901" t="s">
        <v>4389</v>
      </c>
      <c r="P193" s="586" t="s">
        <v>2555</v>
      </c>
      <c r="Q193" s="546"/>
      <c r="R193" s="177"/>
      <c r="S193" s="403"/>
      <c r="T193" s="525" t="s">
        <v>1796</v>
      </c>
      <c r="U193" s="525" t="s">
        <v>123</v>
      </c>
      <c r="W193" s="446" t="s">
        <v>1758</v>
      </c>
      <c r="X193" s="446" t="s">
        <v>3409</v>
      </c>
      <c r="Z193" s="446"/>
      <c r="AA193" s="28"/>
      <c r="AB193" s="28"/>
      <c r="AC193" s="997"/>
      <c r="AD193" s="536"/>
    </row>
    <row r="194" spans="2:30" ht="10.5" customHeight="1">
      <c r="B194" s="292"/>
      <c r="C194" s="394" t="s">
        <v>669</v>
      </c>
      <c r="D194" s="460">
        <v>48800</v>
      </c>
      <c r="E194" s="292"/>
      <c r="F194" s="292" t="s">
        <v>1367</v>
      </c>
      <c r="G194" s="1079" t="s">
        <v>2549</v>
      </c>
      <c r="H194" s="1079" t="s">
        <v>1223</v>
      </c>
      <c r="I194" s="1080" t="s">
        <v>195</v>
      </c>
      <c r="J194" s="1080" t="s">
        <v>2628</v>
      </c>
      <c r="K194" s="1081" t="s">
        <v>632</v>
      </c>
      <c r="L194" s="1082" t="s">
        <v>425</v>
      </c>
      <c r="M194" s="2902" t="s">
        <v>2615</v>
      </c>
      <c r="N194" s="2902" t="s">
        <v>1795</v>
      </c>
      <c r="O194" s="2901" t="s">
        <v>4390</v>
      </c>
      <c r="P194" s="586" t="s">
        <v>1015</v>
      </c>
      <c r="Q194" s="546"/>
      <c r="R194" s="177"/>
      <c r="S194" s="403"/>
      <c r="T194" s="525" t="s">
        <v>2556</v>
      </c>
      <c r="U194" s="525" t="s">
        <v>165</v>
      </c>
      <c r="W194" s="446" t="s">
        <v>1032</v>
      </c>
      <c r="X194" s="446" t="s">
        <v>3409</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2629</v>
      </c>
      <c r="K195" s="1081" t="s">
        <v>1693</v>
      </c>
      <c r="L195" s="1082" t="s">
        <v>426</v>
      </c>
      <c r="M195" s="2900" t="s">
        <v>2615</v>
      </c>
      <c r="N195" s="2900" t="s">
        <v>1533</v>
      </c>
      <c r="O195" s="2901" t="s">
        <v>4391</v>
      </c>
      <c r="P195" s="586" t="s">
        <v>2017</v>
      </c>
      <c r="Q195" s="546"/>
      <c r="R195" s="177"/>
      <c r="S195" s="403"/>
      <c r="T195" s="525" t="s">
        <v>1016</v>
      </c>
      <c r="U195" s="525" t="s">
        <v>431</v>
      </c>
      <c r="W195" s="446" t="s">
        <v>1035</v>
      </c>
      <c r="X195" s="446" t="s">
        <v>3409</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2629</v>
      </c>
      <c r="K196" s="1081" t="s">
        <v>2592</v>
      </c>
      <c r="L196" s="1082" t="s">
        <v>426</v>
      </c>
      <c r="M196" s="2900" t="s">
        <v>1207</v>
      </c>
      <c r="N196" s="2900" t="s">
        <v>1217</v>
      </c>
      <c r="O196" s="2901" t="s">
        <v>4392</v>
      </c>
      <c r="P196" s="586" t="s">
        <v>15</v>
      </c>
      <c r="Q196" s="546"/>
      <c r="R196" s="177"/>
      <c r="S196" s="403"/>
      <c r="T196" s="525" t="s">
        <v>1326</v>
      </c>
      <c r="U196" s="525" t="s">
        <v>330</v>
      </c>
      <c r="W196" s="446" t="s">
        <v>1771</v>
      </c>
      <c r="X196" s="446" t="s">
        <v>3409</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2628</v>
      </c>
      <c r="K197" s="1081" t="s">
        <v>633</v>
      </c>
      <c r="L197" s="1082" t="s">
        <v>425</v>
      </c>
      <c r="M197" s="2902" t="s">
        <v>2615</v>
      </c>
      <c r="N197" s="2902" t="s">
        <v>1795</v>
      </c>
      <c r="O197" s="2901" t="s">
        <v>4393</v>
      </c>
      <c r="P197" s="586" t="s">
        <v>2250</v>
      </c>
      <c r="Q197" s="546"/>
      <c r="R197" s="177"/>
      <c r="S197" s="403"/>
      <c r="T197" s="525" t="s">
        <v>16</v>
      </c>
      <c r="U197" s="525" t="s">
        <v>1679</v>
      </c>
      <c r="W197" s="446" t="s">
        <v>2079</v>
      </c>
      <c r="X197" s="446" t="s">
        <v>3409</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2629</v>
      </c>
      <c r="K198" s="1081" t="s">
        <v>2592</v>
      </c>
      <c r="L198" s="1082" t="s">
        <v>426</v>
      </c>
      <c r="M198" s="2900" t="s">
        <v>1207</v>
      </c>
      <c r="N198" s="2900" t="s">
        <v>1217</v>
      </c>
      <c r="O198" s="2901" t="s">
        <v>4394</v>
      </c>
      <c r="P198" s="586" t="s">
        <v>2252</v>
      </c>
      <c r="Q198" s="546"/>
      <c r="R198" s="177"/>
      <c r="S198" s="403"/>
      <c r="T198" s="525" t="s">
        <v>2251</v>
      </c>
      <c r="U198" s="525" t="s">
        <v>1222</v>
      </c>
      <c r="W198" s="446" t="s">
        <v>2081</v>
      </c>
      <c r="X198" s="446" t="s">
        <v>3409</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2628</v>
      </c>
      <c r="K199" s="1081" t="s">
        <v>1973</v>
      </c>
      <c r="L199" s="1082" t="s">
        <v>425</v>
      </c>
      <c r="M199" s="2902" t="s">
        <v>2615</v>
      </c>
      <c r="N199" s="2902" t="s">
        <v>1332</v>
      </c>
      <c r="O199" s="2901" t="s">
        <v>4395</v>
      </c>
      <c r="P199" s="586" t="s">
        <v>2254</v>
      </c>
      <c r="Q199" s="546"/>
      <c r="R199" s="177"/>
      <c r="S199" s="403"/>
      <c r="T199" s="292" t="s">
        <v>2253</v>
      </c>
      <c r="U199" s="292" t="s">
        <v>2259</v>
      </c>
      <c r="W199" s="446" t="s">
        <v>682</v>
      </c>
      <c r="X199" s="446" t="s">
        <v>3409</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2628</v>
      </c>
      <c r="K200" s="1081" t="s">
        <v>1974</v>
      </c>
      <c r="L200" s="1082" t="s">
        <v>425</v>
      </c>
      <c r="M200" s="2902" t="s">
        <v>2615</v>
      </c>
      <c r="N200" s="2902" t="s">
        <v>1795</v>
      </c>
      <c r="O200" s="2901" t="s">
        <v>4396</v>
      </c>
      <c r="P200" s="586" t="s">
        <v>2284</v>
      </c>
      <c r="Q200" s="546"/>
      <c r="R200" s="177"/>
      <c r="S200" s="403"/>
      <c r="T200" s="525" t="s">
        <v>2577</v>
      </c>
      <c r="U200" s="525" t="s">
        <v>634</v>
      </c>
      <c r="W200" s="446" t="s">
        <v>1259</v>
      </c>
      <c r="X200" s="446" t="s">
        <v>3409</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2629</v>
      </c>
      <c r="K201" s="1081" t="s">
        <v>1171</v>
      </c>
      <c r="L201" s="1082" t="s">
        <v>426</v>
      </c>
      <c r="M201" s="2902" t="s">
        <v>1207</v>
      </c>
      <c r="N201" s="2902" t="s">
        <v>1795</v>
      </c>
      <c r="O201" s="2901" t="s">
        <v>4397</v>
      </c>
      <c r="P201" s="586" t="s">
        <v>1786</v>
      </c>
      <c r="Q201" s="546"/>
      <c r="R201" s="177"/>
      <c r="S201" s="403"/>
      <c r="T201" s="525" t="s">
        <v>2255</v>
      </c>
      <c r="U201" s="525" t="s">
        <v>122</v>
      </c>
      <c r="W201" s="446" t="s">
        <v>1261</v>
      </c>
      <c r="X201" s="446" t="s">
        <v>3409</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2629</v>
      </c>
      <c r="K202" s="1081" t="s">
        <v>2592</v>
      </c>
      <c r="L202" s="1082" t="s">
        <v>426</v>
      </c>
      <c r="M202" s="2900" t="s">
        <v>1207</v>
      </c>
      <c r="N202" s="2900" t="s">
        <v>1217</v>
      </c>
      <c r="O202" s="2901" t="s">
        <v>4398</v>
      </c>
      <c r="P202" s="586" t="s">
        <v>1788</v>
      </c>
      <c r="Q202" s="546"/>
      <c r="R202" s="177"/>
      <c r="S202" s="403"/>
      <c r="T202" s="525" t="s">
        <v>1762</v>
      </c>
      <c r="U202" s="525" t="s">
        <v>2504</v>
      </c>
      <c r="W202" s="446" t="s">
        <v>2498</v>
      </c>
      <c r="X202" s="446" t="s">
        <v>3409</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2628</v>
      </c>
      <c r="K203" s="1081" t="s">
        <v>1975</v>
      </c>
      <c r="L203" s="1082" t="s">
        <v>425</v>
      </c>
      <c r="M203" s="2902" t="s">
        <v>2615</v>
      </c>
      <c r="N203" s="2902" t="s">
        <v>1795</v>
      </c>
      <c r="O203" s="2901" t="s">
        <v>4399</v>
      </c>
      <c r="P203" s="586" t="s">
        <v>2173</v>
      </c>
      <c r="Q203" s="546"/>
      <c r="R203" s="177"/>
      <c r="S203" s="403"/>
      <c r="T203" s="525" t="s">
        <v>1787</v>
      </c>
      <c r="U203" s="525" t="s">
        <v>1325</v>
      </c>
      <c r="W203" s="446" t="s">
        <v>2508</v>
      </c>
      <c r="X203" s="446" t="s">
        <v>3409</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2629</v>
      </c>
      <c r="K204" s="1081" t="s">
        <v>2598</v>
      </c>
      <c r="L204" s="1082" t="s">
        <v>426</v>
      </c>
      <c r="M204" s="2900" t="s">
        <v>2615</v>
      </c>
      <c r="N204" s="2900" t="s">
        <v>1709</v>
      </c>
      <c r="O204" s="2901" t="s">
        <v>4400</v>
      </c>
      <c r="P204" s="586" t="s">
        <v>2174</v>
      </c>
      <c r="Q204" s="546"/>
      <c r="R204" s="177"/>
      <c r="S204" s="403"/>
      <c r="T204" s="525" t="s">
        <v>1789</v>
      </c>
      <c r="U204" s="525" t="s">
        <v>2023</v>
      </c>
      <c r="W204" s="446" t="s">
        <v>88</v>
      </c>
      <c r="X204" s="446" t="s">
        <v>3409</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2629</v>
      </c>
      <c r="K205" s="1081" t="s">
        <v>1475</v>
      </c>
      <c r="L205" s="1082" t="s">
        <v>426</v>
      </c>
      <c r="M205" s="2900" t="s">
        <v>2615</v>
      </c>
      <c r="N205" s="2900" t="s">
        <v>1338</v>
      </c>
      <c r="O205" s="2901" t="s">
        <v>4401</v>
      </c>
      <c r="P205" s="586" t="s">
        <v>2459</v>
      </c>
      <c r="Q205" s="301"/>
      <c r="R205" s="177"/>
      <c r="S205" s="403"/>
      <c r="T205" s="525" t="s">
        <v>833</v>
      </c>
      <c r="U205" s="525" t="s">
        <v>2604</v>
      </c>
      <c r="W205" s="446" t="s">
        <v>1246</v>
      </c>
      <c r="X205" s="446" t="s">
        <v>3409</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2628</v>
      </c>
      <c r="K206" s="1081" t="s">
        <v>1347</v>
      </c>
      <c r="L206" s="1082" t="s">
        <v>425</v>
      </c>
      <c r="M206" s="2902" t="s">
        <v>2615</v>
      </c>
      <c r="N206" s="2902" t="s">
        <v>167</v>
      </c>
      <c r="O206" s="2901" t="s">
        <v>4402</v>
      </c>
      <c r="P206" s="586" t="s">
        <v>2461</v>
      </c>
      <c r="Q206" s="301"/>
      <c r="R206" s="177"/>
      <c r="S206" s="403"/>
      <c r="T206" s="525" t="s">
        <v>2175</v>
      </c>
      <c r="U206" s="525" t="s">
        <v>2606</v>
      </c>
      <c r="W206" s="446" t="s">
        <v>162</v>
      </c>
      <c r="X206" s="446" t="s">
        <v>3409</v>
      </c>
      <c r="Z206" s="446"/>
      <c r="AA206" s="28"/>
      <c r="AB206" s="28"/>
      <c r="AC206" s="997"/>
      <c r="AD206" s="536"/>
    </row>
    <row r="207" spans="2:30" ht="10.5" customHeight="1">
      <c r="B207" s="292"/>
      <c r="C207" s="393" t="s">
        <v>331</v>
      </c>
      <c r="D207" s="460">
        <v>33500</v>
      </c>
      <c r="E207" s="292"/>
      <c r="F207" s="587"/>
      <c r="G207" s="1079" t="s">
        <v>2257</v>
      </c>
      <c r="H207" s="1079" t="s">
        <v>1223</v>
      </c>
      <c r="I207" s="1080" t="s">
        <v>2258</v>
      </c>
      <c r="J207" s="1080" t="s">
        <v>2628</v>
      </c>
      <c r="K207" s="1081" t="s">
        <v>1348</v>
      </c>
      <c r="L207" s="1082" t="s">
        <v>425</v>
      </c>
      <c r="M207" s="2902" t="s">
        <v>2615</v>
      </c>
      <c r="N207" s="2902" t="s">
        <v>1342</v>
      </c>
      <c r="O207" s="2901" t="s">
        <v>4403</v>
      </c>
      <c r="P207" s="586" t="s">
        <v>2463</v>
      </c>
      <c r="Q207" s="301"/>
      <c r="R207" s="177"/>
      <c r="S207" s="403"/>
      <c r="T207" s="292" t="s">
        <v>2460</v>
      </c>
      <c r="U207" s="292" t="s">
        <v>1104</v>
      </c>
      <c r="W207" s="446" t="s">
        <v>904</v>
      </c>
      <c r="X207" s="446" t="s">
        <v>3409</v>
      </c>
      <c r="Z207" s="446"/>
      <c r="AA207" s="28"/>
      <c r="AB207" s="28"/>
      <c r="AC207" s="536"/>
      <c r="AD207" s="536"/>
    </row>
    <row r="208" spans="2:30" ht="10.5" customHeight="1">
      <c r="B208" s="292"/>
      <c r="C208" s="394" t="s">
        <v>333</v>
      </c>
      <c r="D208" s="460">
        <v>37300</v>
      </c>
      <c r="E208" s="292"/>
      <c r="F208" s="587"/>
      <c r="G208" s="1079" t="s">
        <v>2259</v>
      </c>
      <c r="H208" s="1079" t="s">
        <v>1223</v>
      </c>
      <c r="I208" s="1080" t="s">
        <v>660</v>
      </c>
      <c r="J208" s="1080" t="s">
        <v>2628</v>
      </c>
      <c r="K208" s="1081" t="s">
        <v>1349</v>
      </c>
      <c r="L208" s="1082" t="s">
        <v>425</v>
      </c>
      <c r="M208" s="2902" t="s">
        <v>2615</v>
      </c>
      <c r="N208" s="2902" t="s">
        <v>1338</v>
      </c>
      <c r="O208" s="2901" t="s">
        <v>4404</v>
      </c>
      <c r="P208" s="586" t="s">
        <v>2465</v>
      </c>
      <c r="Q208" s="301"/>
      <c r="R208" s="177"/>
      <c r="S208" s="403"/>
      <c r="T208" s="525" t="s">
        <v>2578</v>
      </c>
      <c r="U208" s="525" t="s">
        <v>321</v>
      </c>
      <c r="W208" s="446" t="s">
        <v>2155</v>
      </c>
      <c r="X208" s="446" t="s">
        <v>3409</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2628</v>
      </c>
      <c r="K209" s="1081" t="s">
        <v>1350</v>
      </c>
      <c r="L209" s="1082" t="s">
        <v>425</v>
      </c>
      <c r="M209" s="2902" t="s">
        <v>2615</v>
      </c>
      <c r="N209" s="2902" t="s">
        <v>1217</v>
      </c>
      <c r="O209" s="2901" t="s">
        <v>4405</v>
      </c>
      <c r="P209" s="586" t="s">
        <v>2466</v>
      </c>
      <c r="Q209" s="301"/>
      <c r="R209" s="177"/>
      <c r="S209" s="403"/>
      <c r="T209" s="525" t="s">
        <v>2462</v>
      </c>
      <c r="U209" s="525" t="s">
        <v>1934</v>
      </c>
      <c r="W209" s="446" t="s">
        <v>2073</v>
      </c>
      <c r="X209" s="446" t="s">
        <v>3409</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2629</v>
      </c>
      <c r="K210" s="1081" t="s">
        <v>2592</v>
      </c>
      <c r="L210" s="1082" t="s">
        <v>426</v>
      </c>
      <c r="M210" s="2900" t="s">
        <v>1207</v>
      </c>
      <c r="N210" s="2900" t="s">
        <v>1217</v>
      </c>
      <c r="O210" s="2901" t="s">
        <v>4406</v>
      </c>
      <c r="P210" s="586" t="s">
        <v>2245</v>
      </c>
      <c r="Q210" s="301"/>
      <c r="R210" s="177"/>
      <c r="S210" s="403"/>
      <c r="T210" s="525" t="s">
        <v>2464</v>
      </c>
      <c r="U210" s="525" t="s">
        <v>883</v>
      </c>
      <c r="W210" s="446" t="s">
        <v>605</v>
      </c>
      <c r="X210" s="446" t="s">
        <v>3409</v>
      </c>
      <c r="Z210" s="446"/>
      <c r="AA210" s="28"/>
      <c r="AB210" s="28"/>
      <c r="AC210" s="997"/>
      <c r="AD210" s="536"/>
    </row>
    <row r="211" spans="2:30" ht="10.5" customHeight="1">
      <c r="B211" s="292"/>
      <c r="C211" s="394" t="s">
        <v>1466</v>
      </c>
      <c r="D211" s="460">
        <v>44200</v>
      </c>
      <c r="E211" s="292"/>
      <c r="F211" s="587"/>
      <c r="G211" s="1079" t="s">
        <v>664</v>
      </c>
      <c r="H211" s="1079" t="s">
        <v>1323</v>
      </c>
      <c r="I211" s="1083" t="s">
        <v>2283</v>
      </c>
      <c r="J211" s="1083" t="s">
        <v>2629</v>
      </c>
      <c r="K211" s="1081" t="s">
        <v>1351</v>
      </c>
      <c r="L211" s="1082" t="s">
        <v>426</v>
      </c>
      <c r="M211" s="2902" t="s">
        <v>1207</v>
      </c>
      <c r="N211" s="2902" t="s">
        <v>1217</v>
      </c>
      <c r="O211" s="2901" t="s">
        <v>4407</v>
      </c>
      <c r="P211" s="586" t="s">
        <v>715</v>
      </c>
      <c r="Q211" s="301"/>
      <c r="R211" s="177"/>
      <c r="S211" s="403"/>
      <c r="T211" s="525" t="s">
        <v>2467</v>
      </c>
      <c r="U211" s="525" t="s">
        <v>160</v>
      </c>
      <c r="W211" s="446" t="s">
        <v>607</v>
      </c>
      <c r="X211" s="446" t="s">
        <v>3409</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2629</v>
      </c>
      <c r="K212" s="1081" t="s">
        <v>2592</v>
      </c>
      <c r="L212" s="1082" t="s">
        <v>426</v>
      </c>
      <c r="M212" s="2900" t="s">
        <v>1207</v>
      </c>
      <c r="N212" s="2900" t="s">
        <v>1217</v>
      </c>
      <c r="O212" s="2901" t="s">
        <v>4408</v>
      </c>
      <c r="P212" s="586" t="s">
        <v>717</v>
      </c>
      <c r="Q212" s="301"/>
      <c r="R212" s="177"/>
      <c r="S212" s="403"/>
      <c r="T212" s="525" t="s">
        <v>2246</v>
      </c>
      <c r="U212" s="525" t="s">
        <v>661</v>
      </c>
      <c r="W212" s="446" t="s">
        <v>2548</v>
      </c>
      <c r="X212" s="446" t="s">
        <v>3409</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2628</v>
      </c>
      <c r="K213" s="1081" t="s">
        <v>1352</v>
      </c>
      <c r="L213" s="1082" t="s">
        <v>425</v>
      </c>
      <c r="M213" s="2902" t="s">
        <v>2615</v>
      </c>
      <c r="N213" s="2902" t="s">
        <v>167</v>
      </c>
      <c r="O213" s="2901" t="s">
        <v>4409</v>
      </c>
      <c r="P213" s="586" t="s">
        <v>719</v>
      </c>
      <c r="Q213" s="301"/>
      <c r="R213" s="177"/>
      <c r="S213" s="403"/>
      <c r="T213" s="525" t="s">
        <v>716</v>
      </c>
      <c r="U213" s="525" t="s">
        <v>2496</v>
      </c>
      <c r="W213" s="446" t="s">
        <v>611</v>
      </c>
      <c r="X213" s="446" t="s">
        <v>3409</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2629</v>
      </c>
      <c r="K214" s="1081" t="s">
        <v>2592</v>
      </c>
      <c r="L214" s="1082" t="s">
        <v>426</v>
      </c>
      <c r="M214" s="2900" t="s">
        <v>1207</v>
      </c>
      <c r="N214" s="2900" t="s">
        <v>1217</v>
      </c>
      <c r="O214" s="2901" t="s">
        <v>4410</v>
      </c>
      <c r="P214" s="586" t="s">
        <v>721</v>
      </c>
      <c r="Q214" s="301"/>
      <c r="R214" s="177"/>
      <c r="S214" s="403"/>
      <c r="T214" s="525" t="s">
        <v>718</v>
      </c>
      <c r="U214" s="525" t="s">
        <v>1119</v>
      </c>
      <c r="W214" s="446" t="s">
        <v>551</v>
      </c>
      <c r="X214" s="446" t="s">
        <v>3409</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2628</v>
      </c>
      <c r="K215" s="1081" t="s">
        <v>241</v>
      </c>
      <c r="L215" s="1082" t="s">
        <v>425</v>
      </c>
      <c r="M215" s="2902" t="s">
        <v>2615</v>
      </c>
      <c r="N215" s="2902" t="s">
        <v>1217</v>
      </c>
      <c r="O215" s="2901" t="s">
        <v>4411</v>
      </c>
      <c r="P215" s="586" t="s">
        <v>2237</v>
      </c>
      <c r="Q215" s="301"/>
      <c r="R215" s="177"/>
      <c r="S215" s="403"/>
      <c r="T215" s="292" t="s">
        <v>720</v>
      </c>
      <c r="U215" s="292" t="s">
        <v>2606</v>
      </c>
      <c r="W215" s="446" t="s">
        <v>754</v>
      </c>
      <c r="X215" s="446" t="s">
        <v>3409</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2628</v>
      </c>
      <c r="K216" s="1081" t="s">
        <v>242</v>
      </c>
      <c r="L216" s="1082" t="s">
        <v>425</v>
      </c>
      <c r="M216" s="2902" t="s">
        <v>2615</v>
      </c>
      <c r="N216" s="2902" t="s">
        <v>1342</v>
      </c>
      <c r="O216" s="2901" t="s">
        <v>4412</v>
      </c>
      <c r="P216" s="586" t="s">
        <v>2238</v>
      </c>
      <c r="Q216" s="301"/>
      <c r="R216" s="177"/>
      <c r="S216" s="403"/>
      <c r="T216" s="525" t="s">
        <v>2579</v>
      </c>
      <c r="U216" s="525" t="s">
        <v>2498</v>
      </c>
      <c r="W216" s="446" t="s">
        <v>38</v>
      </c>
      <c r="X216" s="446" t="s">
        <v>3409</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2629</v>
      </c>
      <c r="K217" s="1081" t="s">
        <v>2597</v>
      </c>
      <c r="L217" s="1082" t="s">
        <v>426</v>
      </c>
      <c r="M217" s="2902" t="s">
        <v>1207</v>
      </c>
      <c r="N217" s="2902" t="s">
        <v>1338</v>
      </c>
      <c r="O217" s="2901" t="s">
        <v>4413</v>
      </c>
      <c r="P217" s="586" t="s">
        <v>2240</v>
      </c>
      <c r="Q217" s="301"/>
      <c r="R217" s="177"/>
      <c r="S217" s="403"/>
      <c r="T217" s="525" t="s">
        <v>2239</v>
      </c>
      <c r="U217" s="525" t="s">
        <v>1679</v>
      </c>
      <c r="W217" s="446" t="s">
        <v>1982</v>
      </c>
      <c r="X217" s="446" t="s">
        <v>3409</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2628</v>
      </c>
      <c r="K218" s="1081" t="s">
        <v>243</v>
      </c>
      <c r="L218" s="1082" t="s">
        <v>425</v>
      </c>
      <c r="M218" s="2902" t="s">
        <v>2615</v>
      </c>
      <c r="N218" s="2902" t="s">
        <v>1217</v>
      </c>
      <c r="O218" s="2901" t="s">
        <v>4414</v>
      </c>
      <c r="P218" s="586" t="s">
        <v>690</v>
      </c>
      <c r="Q218" s="301"/>
      <c r="R218" s="177"/>
      <c r="S218" s="403"/>
      <c r="T218" s="525" t="s">
        <v>2241</v>
      </c>
      <c r="U218" s="525" t="s">
        <v>2600</v>
      </c>
      <c r="W218" s="446" t="s">
        <v>337</v>
      </c>
      <c r="X218" s="446" t="s">
        <v>3409</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2628</v>
      </c>
      <c r="K219" s="1081" t="s">
        <v>405</v>
      </c>
      <c r="L219" s="1082" t="s">
        <v>425</v>
      </c>
      <c r="M219" s="2902" t="s">
        <v>2615</v>
      </c>
      <c r="N219" s="2902" t="s">
        <v>1795</v>
      </c>
      <c r="O219" s="2901" t="s">
        <v>4415</v>
      </c>
      <c r="P219" s="586" t="s">
        <v>797</v>
      </c>
      <c r="Q219" s="301"/>
      <c r="R219" s="177"/>
      <c r="S219" s="403"/>
      <c r="T219" s="525" t="s">
        <v>691</v>
      </c>
      <c r="U219" s="525" t="s">
        <v>741</v>
      </c>
      <c r="W219" s="446" t="s">
        <v>345</v>
      </c>
      <c r="X219" s="446" t="s">
        <v>3409</v>
      </c>
      <c r="Z219" s="446"/>
      <c r="AA219" s="28"/>
      <c r="AB219" s="28"/>
      <c r="AC219" s="997"/>
      <c r="AD219" s="536"/>
    </row>
    <row r="220" spans="2:30" ht="10.5" customHeight="1">
      <c r="B220" s="292"/>
      <c r="C220" s="394" t="s">
        <v>2057</v>
      </c>
      <c r="D220" s="460">
        <v>59300</v>
      </c>
      <c r="E220" s="292"/>
      <c r="F220" s="587"/>
      <c r="G220" s="1079" t="s">
        <v>677</v>
      </c>
      <c r="H220" s="1079" t="s">
        <v>1323</v>
      </c>
      <c r="I220" s="1080" t="s">
        <v>678</v>
      </c>
      <c r="J220" s="1080" t="s">
        <v>2628</v>
      </c>
      <c r="K220" s="1081" t="s">
        <v>406</v>
      </c>
      <c r="L220" s="1082" t="s">
        <v>425</v>
      </c>
      <c r="M220" s="2902" t="s">
        <v>2615</v>
      </c>
      <c r="N220" s="2902" t="s">
        <v>167</v>
      </c>
      <c r="O220" s="2901" t="s">
        <v>4416</v>
      </c>
      <c r="P220" s="586" t="s">
        <v>2286</v>
      </c>
      <c r="Q220" s="301"/>
      <c r="R220" s="177"/>
      <c r="S220" s="403"/>
      <c r="T220" s="525" t="s">
        <v>2285</v>
      </c>
      <c r="U220" s="525" t="s">
        <v>318</v>
      </c>
      <c r="W220" s="446" t="s">
        <v>197</v>
      </c>
      <c r="X220" s="446" t="s">
        <v>3409</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2629</v>
      </c>
      <c r="K221" s="1081" t="s">
        <v>2592</v>
      </c>
      <c r="L221" s="1082" t="s">
        <v>426</v>
      </c>
      <c r="M221" s="2900" t="s">
        <v>1207</v>
      </c>
      <c r="N221" s="2900" t="s">
        <v>1217</v>
      </c>
      <c r="O221" s="2901" t="s">
        <v>4417</v>
      </c>
      <c r="P221" s="586" t="s">
        <v>2315</v>
      </c>
      <c r="Q221" s="301"/>
      <c r="R221" s="177"/>
      <c r="S221" s="403"/>
      <c r="T221" s="525" t="s">
        <v>2346</v>
      </c>
      <c r="U221" s="525" t="s">
        <v>887</v>
      </c>
      <c r="W221" s="446" t="s">
        <v>2170</v>
      </c>
      <c r="X221" s="446" t="s">
        <v>3409</v>
      </c>
      <c r="Z221" s="446"/>
      <c r="AA221" s="28"/>
      <c r="AB221" s="28"/>
      <c r="AC221" s="997"/>
      <c r="AD221" s="536"/>
    </row>
    <row r="222" spans="2:30" ht="10.5" customHeight="1">
      <c r="B222" s="292"/>
      <c r="C222" s="393" t="s">
        <v>2601</v>
      </c>
      <c r="D222" s="460">
        <v>58400</v>
      </c>
      <c r="E222" s="292"/>
      <c r="F222" s="587"/>
      <c r="G222" s="1079" t="s">
        <v>123</v>
      </c>
      <c r="H222" s="1079" t="s">
        <v>1323</v>
      </c>
      <c r="I222" s="1080" t="s">
        <v>124</v>
      </c>
      <c r="J222" s="1080" t="s">
        <v>2628</v>
      </c>
      <c r="K222" s="1081" t="s">
        <v>407</v>
      </c>
      <c r="L222" s="1082" t="s">
        <v>425</v>
      </c>
      <c r="M222" s="2902" t="s">
        <v>2615</v>
      </c>
      <c r="N222" s="2902" t="s">
        <v>167</v>
      </c>
      <c r="O222" s="2901" t="s">
        <v>4418</v>
      </c>
      <c r="P222" s="586" t="s">
        <v>46</v>
      </c>
      <c r="Q222" s="301"/>
      <c r="R222" s="177"/>
      <c r="S222" s="403"/>
      <c r="T222" s="525" t="s">
        <v>47</v>
      </c>
      <c r="U222" s="525" t="s">
        <v>325</v>
      </c>
      <c r="W222" s="446" t="s">
        <v>198</v>
      </c>
      <c r="X222" s="446" t="s">
        <v>3409</v>
      </c>
      <c r="Z222" s="446"/>
      <c r="AA222" s="28"/>
      <c r="AB222" s="28"/>
      <c r="AC222" s="999"/>
      <c r="AD222" s="536"/>
    </row>
    <row r="223" spans="2:30" ht="10.5" customHeight="1">
      <c r="B223" s="292"/>
      <c r="C223" s="394" t="s">
        <v>2603</v>
      </c>
      <c r="D223" s="460">
        <v>43500</v>
      </c>
      <c r="E223" s="292"/>
      <c r="F223" s="587"/>
      <c r="G223" s="1079" t="s">
        <v>313</v>
      </c>
      <c r="H223" s="1079" t="s">
        <v>1323</v>
      </c>
      <c r="I223" s="1080" t="s">
        <v>1233</v>
      </c>
      <c r="J223" s="1080" t="s">
        <v>2629</v>
      </c>
      <c r="K223" s="1081" t="s">
        <v>408</v>
      </c>
      <c r="L223" s="1082" t="s">
        <v>426</v>
      </c>
      <c r="M223" s="2902" t="s">
        <v>1207</v>
      </c>
      <c r="N223" s="2902" t="s">
        <v>1217</v>
      </c>
      <c r="O223" s="2901" t="s">
        <v>4419</v>
      </c>
      <c r="P223" s="586" t="s">
        <v>639</v>
      </c>
      <c r="Q223" s="301"/>
      <c r="R223" s="177"/>
      <c r="S223" s="403"/>
      <c r="T223" s="525" t="s">
        <v>640</v>
      </c>
      <c r="U223" s="525" t="s">
        <v>2608</v>
      </c>
      <c r="W223" s="446" t="s">
        <v>384</v>
      </c>
      <c r="X223" s="446" t="s">
        <v>3409</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2628</v>
      </c>
      <c r="K224" s="1081" t="s">
        <v>409</v>
      </c>
      <c r="L224" s="1082" t="s">
        <v>425</v>
      </c>
      <c r="M224" s="2902" t="s">
        <v>2615</v>
      </c>
      <c r="N224" s="2902" t="s">
        <v>1332</v>
      </c>
      <c r="O224" s="2901" t="s">
        <v>4420</v>
      </c>
      <c r="P224" s="586" t="s">
        <v>306</v>
      </c>
      <c r="Q224" s="301"/>
      <c r="R224" s="177"/>
      <c r="S224" s="403"/>
      <c r="T224" s="525" t="s">
        <v>307</v>
      </c>
      <c r="U224" s="525" t="s">
        <v>316</v>
      </c>
      <c r="W224" s="446" t="s">
        <v>882</v>
      </c>
      <c r="X224" s="446" t="s">
        <v>3409</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2629</v>
      </c>
      <c r="K225" s="1081" t="s">
        <v>410</v>
      </c>
      <c r="L225" s="1082" t="s">
        <v>426</v>
      </c>
      <c r="M225" s="2900" t="s">
        <v>2615</v>
      </c>
      <c r="N225" s="2900" t="s">
        <v>1217</v>
      </c>
      <c r="O225" s="2901" t="s">
        <v>4421</v>
      </c>
      <c r="P225" s="586" t="s">
        <v>2384</v>
      </c>
      <c r="Q225" s="301"/>
      <c r="R225" s="177"/>
      <c r="S225" s="403"/>
      <c r="T225" s="525" t="s">
        <v>2385</v>
      </c>
      <c r="U225" s="525" t="s">
        <v>198</v>
      </c>
      <c r="W225" s="446" t="s">
        <v>1938</v>
      </c>
      <c r="X225" s="446" t="s">
        <v>3409</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2629</v>
      </c>
      <c r="K226" s="1081" t="s">
        <v>1695</v>
      </c>
      <c r="L226" s="1082" t="s">
        <v>426</v>
      </c>
      <c r="M226" s="2900" t="s">
        <v>2615</v>
      </c>
      <c r="N226" s="2900" t="s">
        <v>162</v>
      </c>
      <c r="O226" s="2901" t="s">
        <v>4422</v>
      </c>
      <c r="P226" s="586" t="s">
        <v>2407</v>
      </c>
      <c r="Q226" s="301"/>
      <c r="R226" s="177"/>
      <c r="S226" s="403"/>
      <c r="T226" s="525" t="s">
        <v>2408</v>
      </c>
      <c r="U226" s="525" t="s">
        <v>1678</v>
      </c>
      <c r="W226" s="446" t="s">
        <v>1942</v>
      </c>
      <c r="X226" s="446" t="s">
        <v>3409</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2628</v>
      </c>
      <c r="K227" s="1081" t="s">
        <v>411</v>
      </c>
      <c r="L227" s="1082" t="s">
        <v>425</v>
      </c>
      <c r="M227" s="2902" t="s">
        <v>2615</v>
      </c>
      <c r="N227" s="2902" t="s">
        <v>167</v>
      </c>
      <c r="O227" s="2901" t="s">
        <v>4423</v>
      </c>
      <c r="P227" s="586" t="s">
        <v>2409</v>
      </c>
      <c r="Q227" s="301"/>
      <c r="R227" s="177"/>
      <c r="S227" s="403"/>
      <c r="T227" s="525" t="s">
        <v>2865</v>
      </c>
      <c r="U227" s="525" t="s">
        <v>634</v>
      </c>
      <c r="W227" s="446" t="s">
        <v>724</v>
      </c>
      <c r="X227" s="446" t="s">
        <v>3409</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2629</v>
      </c>
      <c r="K228" s="1081" t="s">
        <v>2592</v>
      </c>
      <c r="L228" s="1082" t="s">
        <v>426</v>
      </c>
      <c r="M228" s="2900" t="s">
        <v>1207</v>
      </c>
      <c r="N228" s="2900" t="s">
        <v>1217</v>
      </c>
      <c r="O228" s="2901" t="s">
        <v>4424</v>
      </c>
      <c r="P228" s="586" t="s">
        <v>2410</v>
      </c>
      <c r="Q228" s="301"/>
      <c r="R228" s="177"/>
      <c r="S228" s="403"/>
      <c r="T228" s="525" t="s">
        <v>635</v>
      </c>
      <c r="U228" s="525" t="s">
        <v>1339</v>
      </c>
      <c r="W228" s="446" t="s">
        <v>1150</v>
      </c>
      <c r="X228" s="446" t="s">
        <v>3409</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2629</v>
      </c>
      <c r="K229" s="1081" t="s">
        <v>2592</v>
      </c>
      <c r="L229" s="1082" t="s">
        <v>426</v>
      </c>
      <c r="M229" s="2900" t="s">
        <v>1207</v>
      </c>
      <c r="N229" s="2900" t="s">
        <v>1217</v>
      </c>
      <c r="O229" s="2901" t="s">
        <v>4425</v>
      </c>
      <c r="P229" s="586" t="s">
        <v>2376</v>
      </c>
      <c r="Q229" s="301"/>
      <c r="R229" s="177"/>
      <c r="S229" s="403"/>
      <c r="T229" s="525" t="s">
        <v>1336</v>
      </c>
      <c r="U229" s="525" t="s">
        <v>663</v>
      </c>
      <c r="W229" s="446" t="s">
        <v>1152</v>
      </c>
      <c r="X229" s="446" t="s">
        <v>3409</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2629</v>
      </c>
      <c r="K230" s="1081" t="s">
        <v>412</v>
      </c>
      <c r="L230" s="1082" t="s">
        <v>426</v>
      </c>
      <c r="M230" s="2902" t="s">
        <v>1207</v>
      </c>
      <c r="N230" s="2902" t="s">
        <v>1332</v>
      </c>
      <c r="O230" s="2901" t="s">
        <v>4426</v>
      </c>
      <c r="P230" s="586" t="s">
        <v>10</v>
      </c>
      <c r="Q230" s="301"/>
      <c r="R230" s="177"/>
      <c r="S230" s="403"/>
      <c r="T230" s="525" t="s">
        <v>2377</v>
      </c>
      <c r="U230" s="525" t="s">
        <v>2502</v>
      </c>
      <c r="W230" s="446" t="s">
        <v>1154</v>
      </c>
      <c r="X230" s="446" t="s">
        <v>3409</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2628</v>
      </c>
      <c r="K231" s="1081" t="s">
        <v>654</v>
      </c>
      <c r="L231" s="1082" t="s">
        <v>425</v>
      </c>
      <c r="M231" s="2902" t="s">
        <v>2615</v>
      </c>
      <c r="N231" s="2902" t="s">
        <v>1795</v>
      </c>
      <c r="O231" s="2901" t="s">
        <v>4427</v>
      </c>
      <c r="P231" s="586" t="s">
        <v>12</v>
      </c>
      <c r="Q231" s="301"/>
      <c r="R231" s="177"/>
      <c r="S231" s="403"/>
      <c r="T231" s="525" t="s">
        <v>11</v>
      </c>
      <c r="U231" s="525" t="s">
        <v>672</v>
      </c>
      <c r="W231" s="446" t="s">
        <v>2530</v>
      </c>
      <c r="X231" s="446" t="s">
        <v>3409</v>
      </c>
      <c r="Z231" s="446"/>
      <c r="AA231" s="28"/>
      <c r="AB231" s="28"/>
      <c r="AC231" s="997"/>
      <c r="AD231" s="536"/>
    </row>
    <row r="232" spans="2:30" ht="10.5" customHeight="1">
      <c r="B232" s="292"/>
      <c r="C232" s="393" t="s">
        <v>2283</v>
      </c>
      <c r="D232" s="460">
        <v>51900</v>
      </c>
      <c r="E232" s="292"/>
      <c r="F232" s="587"/>
      <c r="G232" s="1079" t="s">
        <v>325</v>
      </c>
      <c r="H232" s="1079" t="s">
        <v>1323</v>
      </c>
      <c r="I232" s="1080" t="s">
        <v>326</v>
      </c>
      <c r="J232" s="1080" t="s">
        <v>2628</v>
      </c>
      <c r="K232" s="1081" t="s">
        <v>655</v>
      </c>
      <c r="L232" s="1082" t="s">
        <v>425</v>
      </c>
      <c r="M232" s="2902" t="s">
        <v>2615</v>
      </c>
      <c r="N232" s="2902" t="s">
        <v>1217</v>
      </c>
      <c r="O232" s="2901" t="s">
        <v>4428</v>
      </c>
      <c r="P232" s="586" t="s">
        <v>57</v>
      </c>
      <c r="Q232" s="301"/>
      <c r="R232" s="177"/>
      <c r="S232" s="403"/>
      <c r="T232" s="525" t="s">
        <v>13</v>
      </c>
      <c r="U232" s="525" t="s">
        <v>316</v>
      </c>
      <c r="W232" s="446" t="s">
        <v>459</v>
      </c>
      <c r="X232" s="446" t="s">
        <v>3409</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2629</v>
      </c>
      <c r="K233" s="1081" t="s">
        <v>2592</v>
      </c>
      <c r="L233" s="1082" t="s">
        <v>426</v>
      </c>
      <c r="M233" s="2900" t="s">
        <v>1207</v>
      </c>
      <c r="N233" s="2900" t="s">
        <v>1217</v>
      </c>
      <c r="O233" s="2901" t="s">
        <v>4429</v>
      </c>
      <c r="P233" s="586" t="s">
        <v>59</v>
      </c>
      <c r="Q233" s="301"/>
      <c r="R233" s="177"/>
      <c r="S233" s="403"/>
      <c r="T233" s="525" t="s">
        <v>58</v>
      </c>
      <c r="U233" s="525" t="s">
        <v>2600</v>
      </c>
      <c r="W233" s="446" t="s">
        <v>303</v>
      </c>
      <c r="X233" s="446" t="s">
        <v>3409</v>
      </c>
      <c r="Z233" s="446"/>
      <c r="AA233" s="28"/>
      <c r="AB233" s="28"/>
      <c r="AC233" s="997"/>
      <c r="AD233" s="536"/>
    </row>
    <row r="234" spans="2:30" ht="10.5" customHeight="1">
      <c r="B234" s="292"/>
      <c r="C234" s="394" t="s">
        <v>2182</v>
      </c>
      <c r="D234" s="460">
        <v>51000</v>
      </c>
      <c r="E234" s="292"/>
      <c r="F234" s="587"/>
      <c r="G234" s="1079" t="s">
        <v>328</v>
      </c>
      <c r="H234" s="1079" t="s">
        <v>1223</v>
      </c>
      <c r="I234" s="1080" t="s">
        <v>329</v>
      </c>
      <c r="J234" s="1080" t="s">
        <v>2628</v>
      </c>
      <c r="K234" s="1081" t="s">
        <v>656</v>
      </c>
      <c r="L234" s="1082" t="s">
        <v>425</v>
      </c>
      <c r="M234" s="2902" t="s">
        <v>2615</v>
      </c>
      <c r="N234" s="2902" t="s">
        <v>1709</v>
      </c>
      <c r="O234" s="2901" t="s">
        <v>4430</v>
      </c>
      <c r="P234" s="586" t="s">
        <v>61</v>
      </c>
      <c r="Q234" s="301"/>
      <c r="R234" s="177"/>
      <c r="S234" s="403"/>
      <c r="T234" s="525" t="s">
        <v>60</v>
      </c>
      <c r="U234" s="525" t="s">
        <v>359</v>
      </c>
      <c r="W234" s="446" t="s">
        <v>1838</v>
      </c>
      <c r="X234" s="446" t="s">
        <v>3409</v>
      </c>
      <c r="Z234" s="446"/>
      <c r="AA234" s="28"/>
      <c r="AB234" s="28"/>
      <c r="AC234" s="997"/>
      <c r="AD234" s="536"/>
    </row>
    <row r="235" spans="2:30" ht="10.5" customHeight="1">
      <c r="B235" s="292"/>
      <c r="C235" s="394" t="s">
        <v>2184</v>
      </c>
      <c r="D235" s="460">
        <v>46500</v>
      </c>
      <c r="E235" s="292"/>
      <c r="F235" s="587"/>
      <c r="G235" s="1079" t="s">
        <v>330</v>
      </c>
      <c r="H235" s="1079" t="s">
        <v>1323</v>
      </c>
      <c r="I235" s="1080" t="s">
        <v>331</v>
      </c>
      <c r="J235" s="1080" t="s">
        <v>2628</v>
      </c>
      <c r="K235" s="1081" t="s">
        <v>266</v>
      </c>
      <c r="L235" s="1082" t="s">
        <v>425</v>
      </c>
      <c r="M235" s="2902" t="s">
        <v>2615</v>
      </c>
      <c r="N235" s="2902" t="s">
        <v>1342</v>
      </c>
      <c r="O235" s="2901" t="s">
        <v>4431</v>
      </c>
      <c r="P235" s="586" t="s">
        <v>353</v>
      </c>
      <c r="Q235" s="301"/>
      <c r="R235" s="177"/>
      <c r="S235" s="403"/>
      <c r="T235" s="525" t="s">
        <v>62</v>
      </c>
      <c r="U235" s="525" t="s">
        <v>122</v>
      </c>
      <c r="W235" s="446" t="s">
        <v>1840</v>
      </c>
      <c r="X235" s="446" t="s">
        <v>3409</v>
      </c>
      <c r="Z235" s="446"/>
      <c r="AA235" s="28"/>
      <c r="AB235" s="28"/>
      <c r="AC235" s="997"/>
      <c r="AD235" s="536"/>
    </row>
    <row r="236" spans="2:30" ht="10.5" customHeight="1">
      <c r="B236" s="292"/>
      <c r="C236" s="394" t="s">
        <v>2186</v>
      </c>
      <c r="D236" s="460">
        <v>43600</v>
      </c>
      <c r="E236" s="292"/>
      <c r="F236" s="587"/>
      <c r="G236" s="1079" t="s">
        <v>332</v>
      </c>
      <c r="H236" s="1079" t="s">
        <v>1223</v>
      </c>
      <c r="I236" s="1080" t="s">
        <v>333</v>
      </c>
      <c r="J236" s="1080" t="s">
        <v>2628</v>
      </c>
      <c r="K236" s="1081" t="s">
        <v>267</v>
      </c>
      <c r="L236" s="1082" t="s">
        <v>425</v>
      </c>
      <c r="M236" s="2902" t="s">
        <v>2615</v>
      </c>
      <c r="N236" s="2902" t="s">
        <v>1342</v>
      </c>
      <c r="O236" s="2901" t="s">
        <v>4432</v>
      </c>
      <c r="P236" s="586" t="s">
        <v>355</v>
      </c>
      <c r="Q236" s="301"/>
      <c r="R236" s="177"/>
      <c r="S236" s="403"/>
      <c r="T236" s="525" t="s">
        <v>354</v>
      </c>
      <c r="U236" s="525" t="s">
        <v>2200</v>
      </c>
      <c r="W236" s="446" t="s">
        <v>1909</v>
      </c>
      <c r="X236" s="446" t="s">
        <v>3409</v>
      </c>
      <c r="Z236" s="446"/>
      <c r="AA236" s="28"/>
      <c r="AB236" s="28"/>
      <c r="AC236" s="997"/>
      <c r="AD236" s="536"/>
    </row>
    <row r="237" spans="2:30" ht="10.5" customHeight="1">
      <c r="B237" s="292"/>
      <c r="C237" s="394" t="s">
        <v>2189</v>
      </c>
      <c r="D237" s="460">
        <v>52600</v>
      </c>
      <c r="E237" s="292"/>
      <c r="F237" s="587"/>
      <c r="G237" s="1079" t="s">
        <v>334</v>
      </c>
      <c r="H237" s="1079" t="s">
        <v>1323</v>
      </c>
      <c r="I237" s="1080" t="s">
        <v>335</v>
      </c>
      <c r="J237" s="1080" t="s">
        <v>2628</v>
      </c>
      <c r="K237" s="1081" t="s">
        <v>268</v>
      </c>
      <c r="L237" s="1082" t="s">
        <v>425</v>
      </c>
      <c r="M237" s="2902" t="s">
        <v>2615</v>
      </c>
      <c r="N237" s="2902" t="s">
        <v>1332</v>
      </c>
      <c r="O237" s="2901" t="s">
        <v>4433</v>
      </c>
      <c r="P237" s="586" t="s">
        <v>357</v>
      </c>
      <c r="Q237" s="301"/>
      <c r="R237" s="177"/>
      <c r="S237" s="403"/>
      <c r="T237" s="525" t="s">
        <v>356</v>
      </c>
      <c r="U237" s="525" t="s">
        <v>962</v>
      </c>
      <c r="W237" s="446" t="s">
        <v>2259</v>
      </c>
      <c r="X237" s="446" t="s">
        <v>3409</v>
      </c>
      <c r="Z237" s="446"/>
      <c r="AA237" s="28"/>
      <c r="AB237" s="28"/>
      <c r="AC237" s="997"/>
      <c r="AD237" s="536"/>
    </row>
    <row r="238" spans="2:30" ht="10.5" customHeight="1">
      <c r="B238" s="292"/>
      <c r="C238" s="393" t="s">
        <v>2191</v>
      </c>
      <c r="D238" s="460">
        <v>29500</v>
      </c>
      <c r="E238" s="292"/>
      <c r="F238" s="587"/>
      <c r="G238" s="1079" t="s">
        <v>430</v>
      </c>
      <c r="H238" s="1079" t="s">
        <v>1323</v>
      </c>
      <c r="I238" s="1083" t="s">
        <v>1332</v>
      </c>
      <c r="J238" s="1083" t="s">
        <v>2629</v>
      </c>
      <c r="K238" s="1081" t="s">
        <v>2595</v>
      </c>
      <c r="L238" s="1082" t="s">
        <v>426</v>
      </c>
      <c r="M238" s="2900" t="s">
        <v>2615</v>
      </c>
      <c r="N238" s="2900" t="s">
        <v>1332</v>
      </c>
      <c r="O238" s="2901" t="s">
        <v>4434</v>
      </c>
      <c r="P238" s="586" t="s">
        <v>2304</v>
      </c>
      <c r="Q238" s="301"/>
      <c r="R238" s="177"/>
      <c r="S238" s="403"/>
      <c r="T238" s="525" t="s">
        <v>358</v>
      </c>
      <c r="U238" s="525" t="s">
        <v>1101</v>
      </c>
      <c r="W238" s="446" t="s">
        <v>422</v>
      </c>
      <c r="X238" s="446" t="s">
        <v>3409</v>
      </c>
      <c r="Z238" s="446"/>
      <c r="AA238" s="28"/>
      <c r="AB238" s="28"/>
      <c r="AC238" s="997"/>
      <c r="AD238" s="536"/>
    </row>
    <row r="239" spans="2:30" ht="10.5" customHeight="1">
      <c r="B239" s="292"/>
      <c r="C239" s="393" t="s">
        <v>2193</v>
      </c>
      <c r="D239" s="460">
        <v>43200</v>
      </c>
      <c r="E239" s="292"/>
      <c r="F239" s="587"/>
      <c r="G239" s="1079" t="s">
        <v>431</v>
      </c>
      <c r="H239" s="1079" t="s">
        <v>1323</v>
      </c>
      <c r="I239" s="1083" t="s">
        <v>775</v>
      </c>
      <c r="J239" s="1083" t="s">
        <v>2629</v>
      </c>
      <c r="K239" s="1081" t="s">
        <v>269</v>
      </c>
      <c r="L239" s="1082" t="s">
        <v>426</v>
      </c>
      <c r="M239" s="2900" t="s">
        <v>2615</v>
      </c>
      <c r="N239" s="2900" t="s">
        <v>1217</v>
      </c>
      <c r="O239" s="2901" t="s">
        <v>4435</v>
      </c>
      <c r="P239" s="586" t="s">
        <v>2306</v>
      </c>
      <c r="Q239" s="301"/>
      <c r="R239" s="177"/>
      <c r="S239" s="403"/>
      <c r="T239" s="525" t="s">
        <v>636</v>
      </c>
      <c r="U239" s="525" t="s">
        <v>1465</v>
      </c>
      <c r="W239" s="446" t="s">
        <v>2296</v>
      </c>
      <c r="X239" s="446" t="s">
        <v>3409</v>
      </c>
      <c r="Z239" s="446"/>
      <c r="AA239" s="28"/>
      <c r="AB239" s="28"/>
      <c r="AC239" s="997"/>
      <c r="AD239" s="536"/>
    </row>
    <row r="240" spans="2:30" ht="10.5" customHeight="1">
      <c r="B240" s="292"/>
      <c r="C240" s="394" t="s">
        <v>2195</v>
      </c>
      <c r="D240" s="460">
        <v>42800</v>
      </c>
      <c r="E240" s="292"/>
      <c r="F240" s="587"/>
      <c r="G240" s="1079" t="s">
        <v>1464</v>
      </c>
      <c r="H240" s="1079" t="s">
        <v>1223</v>
      </c>
      <c r="I240" s="1080" t="s">
        <v>1709</v>
      </c>
      <c r="J240" s="1080" t="s">
        <v>2629</v>
      </c>
      <c r="K240" s="1081" t="s">
        <v>2598</v>
      </c>
      <c r="L240" s="1082" t="s">
        <v>426</v>
      </c>
      <c r="M240" s="2900" t="s">
        <v>2615</v>
      </c>
      <c r="N240" s="2900" t="s">
        <v>1709</v>
      </c>
      <c r="O240" s="2901" t="s">
        <v>4436</v>
      </c>
      <c r="P240" s="586" t="s">
        <v>2307</v>
      </c>
      <c r="Q240" s="301"/>
      <c r="R240" s="177"/>
      <c r="S240" s="403"/>
      <c r="T240" s="525" t="s">
        <v>2305</v>
      </c>
      <c r="U240" s="525" t="s">
        <v>675</v>
      </c>
      <c r="W240" s="446" t="s">
        <v>3399</v>
      </c>
      <c r="X240" s="446" t="s">
        <v>3409</v>
      </c>
      <c r="Z240" s="446"/>
      <c r="AA240" s="28"/>
      <c r="AB240" s="28"/>
      <c r="AC240" s="997"/>
      <c r="AD240" s="536"/>
    </row>
    <row r="241" spans="2:30" ht="10.5" customHeight="1">
      <c r="B241" s="292"/>
      <c r="C241" s="394" t="s">
        <v>2197</v>
      </c>
      <c r="D241" s="460">
        <v>35400</v>
      </c>
      <c r="E241" s="292"/>
      <c r="F241" s="587"/>
      <c r="G241" s="1079" t="s">
        <v>1465</v>
      </c>
      <c r="H241" s="1079" t="s">
        <v>1323</v>
      </c>
      <c r="I241" s="1080" t="s">
        <v>1466</v>
      </c>
      <c r="J241" s="1080" t="s">
        <v>2628</v>
      </c>
      <c r="K241" s="1081" t="s">
        <v>270</v>
      </c>
      <c r="L241" s="1082" t="s">
        <v>425</v>
      </c>
      <c r="M241" s="2902" t="s">
        <v>2615</v>
      </c>
      <c r="N241" s="2902" t="s">
        <v>1332</v>
      </c>
      <c r="O241" s="2901" t="s">
        <v>4437</v>
      </c>
      <c r="P241" s="586" t="s">
        <v>2308</v>
      </c>
      <c r="Q241" s="301"/>
      <c r="R241" s="177"/>
      <c r="S241" s="403"/>
      <c r="T241" s="525" t="s">
        <v>1344</v>
      </c>
      <c r="U241" s="525" t="s">
        <v>673</v>
      </c>
      <c r="W241" s="446" t="s">
        <v>680</v>
      </c>
      <c r="X241" s="446" t="s">
        <v>3409</v>
      </c>
      <c r="Z241" s="446"/>
      <c r="AA241" s="28"/>
      <c r="AB241" s="28"/>
      <c r="AC241" s="997"/>
      <c r="AD241" s="536"/>
    </row>
    <row r="242" spans="2:30" ht="10.5" customHeight="1">
      <c r="B242" s="292"/>
      <c r="C242" s="394" t="s">
        <v>2199</v>
      </c>
      <c r="D242" s="460">
        <v>46700</v>
      </c>
      <c r="E242" s="292"/>
      <c r="F242" s="587"/>
      <c r="G242" s="1079" t="s">
        <v>1467</v>
      </c>
      <c r="H242" s="1079" t="s">
        <v>1223</v>
      </c>
      <c r="I242" s="1083" t="s">
        <v>1795</v>
      </c>
      <c r="J242" s="1083" t="s">
        <v>2629</v>
      </c>
      <c r="K242" s="1081" t="s">
        <v>1171</v>
      </c>
      <c r="L242" s="1082" t="s">
        <v>426</v>
      </c>
      <c r="M242" s="2900" t="s">
        <v>2615</v>
      </c>
      <c r="N242" s="2900" t="s">
        <v>1795</v>
      </c>
      <c r="O242" s="2901" t="s">
        <v>4438</v>
      </c>
      <c r="P242" s="586" t="s">
        <v>1571</v>
      </c>
      <c r="Q242" s="301"/>
      <c r="R242" s="177"/>
      <c r="S242" s="403"/>
      <c r="T242" s="525" t="s">
        <v>2866</v>
      </c>
      <c r="U242" s="525" t="s">
        <v>675</v>
      </c>
      <c r="W242" s="446" t="s">
        <v>2403</v>
      </c>
      <c r="X242" s="446" t="s">
        <v>3409</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2629</v>
      </c>
      <c r="K243" s="1081" t="s">
        <v>271</v>
      </c>
      <c r="L243" s="1082" t="s">
        <v>426</v>
      </c>
      <c r="M243" s="2902" t="s">
        <v>1207</v>
      </c>
      <c r="N243" s="2902" t="s">
        <v>1338</v>
      </c>
      <c r="O243" s="2901" t="s">
        <v>4439</v>
      </c>
      <c r="P243" s="586" t="s">
        <v>1573</v>
      </c>
      <c r="Q243" s="301"/>
      <c r="R243" s="177"/>
      <c r="S243" s="403"/>
      <c r="T243" s="525" t="s">
        <v>2309</v>
      </c>
      <c r="U243" s="525" t="s">
        <v>105</v>
      </c>
      <c r="W243" s="446" t="s">
        <v>222</v>
      </c>
      <c r="X243" s="446" t="s">
        <v>3409</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2629</v>
      </c>
      <c r="K244" s="1081" t="s">
        <v>3767</v>
      </c>
      <c r="L244" s="1082" t="s">
        <v>426</v>
      </c>
      <c r="M244" s="2902" t="s">
        <v>2615</v>
      </c>
      <c r="N244" s="2902" t="s">
        <v>1342</v>
      </c>
      <c r="O244" s="2901" t="s">
        <v>4440</v>
      </c>
      <c r="P244" s="586" t="s">
        <v>1575</v>
      </c>
      <c r="Q244" s="301"/>
      <c r="R244" s="177"/>
      <c r="S244" s="403"/>
      <c r="T244" s="525" t="s">
        <v>1572</v>
      </c>
      <c r="U244" s="525" t="s">
        <v>1646</v>
      </c>
      <c r="W244" s="446" t="s">
        <v>665</v>
      </c>
      <c r="X244" s="446" t="s">
        <v>3409</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2629</v>
      </c>
      <c r="K245" s="1081" t="s">
        <v>700</v>
      </c>
      <c r="L245" s="1082" t="s">
        <v>426</v>
      </c>
      <c r="M245" s="2900" t="s">
        <v>2615</v>
      </c>
      <c r="N245" s="2900" t="s">
        <v>1338</v>
      </c>
      <c r="O245" s="2901" t="s">
        <v>4441</v>
      </c>
      <c r="P245" s="586" t="s">
        <v>1577</v>
      </c>
      <c r="Q245" s="301"/>
      <c r="R245" s="177"/>
      <c r="S245" s="403"/>
      <c r="T245" s="525" t="s">
        <v>2580</v>
      </c>
      <c r="U245" s="525" t="s">
        <v>634</v>
      </c>
      <c r="W245" s="446" t="s">
        <v>236</v>
      </c>
      <c r="X245" s="446" t="s">
        <v>3409</v>
      </c>
      <c r="Z245" s="446"/>
      <c r="AA245" s="28"/>
      <c r="AB245" s="28"/>
      <c r="AC245" s="997"/>
      <c r="AD245" s="536"/>
    </row>
    <row r="246" spans="2:30" ht="10.5" customHeight="1">
      <c r="B246" s="292"/>
      <c r="C246" s="394" t="s">
        <v>1922</v>
      </c>
      <c r="D246" s="460">
        <v>48200</v>
      </c>
      <c r="E246" s="292"/>
      <c r="F246" s="587"/>
      <c r="G246" s="1079" t="s">
        <v>176</v>
      </c>
      <c r="H246" s="1079" t="s">
        <v>1223</v>
      </c>
      <c r="I246" s="1080" t="s">
        <v>1709</v>
      </c>
      <c r="J246" s="1080" t="s">
        <v>2629</v>
      </c>
      <c r="K246" s="1081" t="s">
        <v>2598</v>
      </c>
      <c r="L246" s="1082" t="s">
        <v>426</v>
      </c>
      <c r="M246" s="2902" t="s">
        <v>1207</v>
      </c>
      <c r="N246" s="2902" t="s">
        <v>1709</v>
      </c>
      <c r="O246" s="2901" t="s">
        <v>4442</v>
      </c>
      <c r="P246" s="586" t="s">
        <v>1579</v>
      </c>
      <c r="Q246" s="301"/>
      <c r="R246" s="177"/>
      <c r="S246" s="403"/>
      <c r="T246" s="525" t="s">
        <v>1574</v>
      </c>
      <c r="U246" s="525" t="s">
        <v>666</v>
      </c>
      <c r="W246" s="446" t="s">
        <v>666</v>
      </c>
      <c r="X246" s="446" t="s">
        <v>3409</v>
      </c>
      <c r="Z246" s="446"/>
      <c r="AA246" s="28"/>
      <c r="AB246" s="28"/>
      <c r="AC246" s="997"/>
      <c r="AD246" s="536"/>
    </row>
    <row r="247" spans="2:30" ht="10.5" customHeight="1">
      <c r="B247" s="292"/>
      <c r="C247" s="393" t="s">
        <v>1924</v>
      </c>
      <c r="D247" s="460">
        <v>45600</v>
      </c>
      <c r="E247" s="292"/>
      <c r="F247" s="587"/>
      <c r="G247" s="1079" t="s">
        <v>177</v>
      </c>
      <c r="H247" s="1079" t="s">
        <v>1323</v>
      </c>
      <c r="I247" s="1083" t="s">
        <v>178</v>
      </c>
      <c r="J247" s="1083" t="s">
        <v>2628</v>
      </c>
      <c r="K247" s="1081" t="s">
        <v>701</v>
      </c>
      <c r="L247" s="1082" t="s">
        <v>425</v>
      </c>
      <c r="M247" s="2902" t="s">
        <v>2615</v>
      </c>
      <c r="N247" s="2902" t="s">
        <v>1217</v>
      </c>
      <c r="O247" s="2901" t="s">
        <v>4443</v>
      </c>
      <c r="P247" s="586" t="s">
        <v>1755</v>
      </c>
      <c r="Q247" s="301"/>
      <c r="R247" s="177"/>
      <c r="S247" s="403"/>
      <c r="T247" s="525" t="s">
        <v>2867</v>
      </c>
      <c r="U247" s="525" t="s">
        <v>2257</v>
      </c>
      <c r="W247" s="446" t="s">
        <v>795</v>
      </c>
      <c r="X247" s="446" t="s">
        <v>3409</v>
      </c>
      <c r="Z247" s="446"/>
      <c r="AA247" s="28"/>
      <c r="AB247" s="28"/>
      <c r="AC247" s="997"/>
      <c r="AD247" s="536"/>
    </row>
    <row r="248" spans="2:30" ht="10.5" customHeight="1">
      <c r="B248" s="292"/>
      <c r="C248" s="393" t="s">
        <v>1926</v>
      </c>
      <c r="D248" s="460">
        <v>49000</v>
      </c>
      <c r="E248" s="292"/>
      <c r="F248" s="587"/>
      <c r="G248" s="1079" t="s">
        <v>1332</v>
      </c>
      <c r="H248" s="1079" t="s">
        <v>1323</v>
      </c>
      <c r="I248" s="1080" t="s">
        <v>179</v>
      </c>
      <c r="J248" s="1080" t="s">
        <v>2628</v>
      </c>
      <c r="K248" s="1081" t="s">
        <v>702</v>
      </c>
      <c r="L248" s="1082" t="s">
        <v>425</v>
      </c>
      <c r="M248" s="2902" t="s">
        <v>2615</v>
      </c>
      <c r="N248" s="2902" t="s">
        <v>1332</v>
      </c>
      <c r="O248" s="2901" t="s">
        <v>4444</v>
      </c>
      <c r="P248" s="586" t="s">
        <v>1757</v>
      </c>
      <c r="Q248" s="301"/>
      <c r="R248" s="177"/>
      <c r="S248" s="403"/>
      <c r="T248" s="525" t="s">
        <v>1576</v>
      </c>
      <c r="U248" s="525" t="s">
        <v>165</v>
      </c>
      <c r="W248" s="446" t="s">
        <v>3400</v>
      </c>
      <c r="X248" s="446" t="s">
        <v>3409</v>
      </c>
      <c r="Z248" s="446"/>
      <c r="AA248" s="28"/>
      <c r="AB248" s="28"/>
      <c r="AC248" s="997"/>
      <c r="AD248" s="536"/>
    </row>
    <row r="249" spans="2:30" ht="10.5" customHeight="1">
      <c r="B249" s="292"/>
      <c r="C249" s="393" t="s">
        <v>1928</v>
      </c>
      <c r="D249" s="460">
        <v>54000</v>
      </c>
      <c r="E249" s="292"/>
      <c r="F249" s="587"/>
      <c r="G249" s="1079" t="s">
        <v>180</v>
      </c>
      <c r="H249" s="1079" t="s">
        <v>1323</v>
      </c>
      <c r="I249" s="1080" t="s">
        <v>2058</v>
      </c>
      <c r="J249" s="1080" t="s">
        <v>2629</v>
      </c>
      <c r="K249" s="1081" t="s">
        <v>626</v>
      </c>
      <c r="L249" s="1082" t="s">
        <v>426</v>
      </c>
      <c r="M249" s="2900" t="s">
        <v>2615</v>
      </c>
      <c r="N249" s="2900" t="s">
        <v>167</v>
      </c>
      <c r="O249" s="2901" t="s">
        <v>4445</v>
      </c>
      <c r="P249" s="586" t="s">
        <v>1759</v>
      </c>
      <c r="Q249" s="301"/>
      <c r="R249" s="177"/>
      <c r="S249" s="403"/>
      <c r="T249" s="525" t="s">
        <v>1578</v>
      </c>
      <c r="U249" s="525" t="s">
        <v>1325</v>
      </c>
      <c r="W249" s="446" t="s">
        <v>3401</v>
      </c>
      <c r="X249" s="446" t="s">
        <v>3409</v>
      </c>
      <c r="Z249" s="446"/>
      <c r="AA249" s="28"/>
      <c r="AB249" s="28"/>
      <c r="AC249" s="997"/>
      <c r="AD249" s="536"/>
    </row>
    <row r="250" spans="2:30" ht="10.5" customHeight="1">
      <c r="B250" s="292"/>
      <c r="C250" s="393" t="s">
        <v>1930</v>
      </c>
      <c r="D250" s="460">
        <v>49300</v>
      </c>
      <c r="E250" s="292"/>
      <c r="F250" s="587"/>
      <c r="G250" s="1079" t="s">
        <v>359</v>
      </c>
      <c r="H250" s="1079" t="s">
        <v>1323</v>
      </c>
      <c r="I250" s="1083" t="s">
        <v>162</v>
      </c>
      <c r="J250" s="1083" t="s">
        <v>2629</v>
      </c>
      <c r="K250" s="1081" t="s">
        <v>1695</v>
      </c>
      <c r="L250" s="1082" t="s">
        <v>426</v>
      </c>
      <c r="M250" s="2900" t="s">
        <v>2615</v>
      </c>
      <c r="N250" s="2900" t="s">
        <v>162</v>
      </c>
      <c r="O250" s="2901" t="s">
        <v>4446</v>
      </c>
      <c r="P250" s="586" t="s">
        <v>1033</v>
      </c>
      <c r="Q250" s="301"/>
      <c r="R250" s="177"/>
      <c r="S250" s="403"/>
      <c r="T250" s="525" t="s">
        <v>1580</v>
      </c>
      <c r="U250" s="525" t="s">
        <v>180</v>
      </c>
      <c r="W250" s="446" t="s">
        <v>1233</v>
      </c>
      <c r="X250" s="446" t="s">
        <v>3409</v>
      </c>
      <c r="Z250" s="446"/>
      <c r="AA250" s="28"/>
      <c r="AB250" s="28"/>
      <c r="AC250" s="997"/>
      <c r="AD250" s="536"/>
    </row>
    <row r="251" spans="2:30" ht="10.5" customHeight="1">
      <c r="B251" s="292"/>
      <c r="C251" s="393" t="s">
        <v>1932</v>
      </c>
      <c r="D251" s="460">
        <v>36500</v>
      </c>
      <c r="E251" s="292"/>
      <c r="F251" s="587"/>
      <c r="G251" s="1079" t="s">
        <v>1890</v>
      </c>
      <c r="H251" s="1079" t="s">
        <v>1323</v>
      </c>
      <c r="I251" s="1083" t="s">
        <v>773</v>
      </c>
      <c r="J251" s="1083" t="s">
        <v>2629</v>
      </c>
      <c r="K251" s="1081" t="s">
        <v>2614</v>
      </c>
      <c r="L251" s="1082" t="s">
        <v>426</v>
      </c>
      <c r="M251" s="2900" t="s">
        <v>2615</v>
      </c>
      <c r="N251" s="2900" t="s">
        <v>1342</v>
      </c>
      <c r="O251" s="2901" t="s">
        <v>4447</v>
      </c>
      <c r="P251" s="586" t="s">
        <v>1034</v>
      </c>
      <c r="Q251" s="301"/>
      <c r="R251" s="177"/>
      <c r="S251" s="403"/>
      <c r="T251" s="525" t="s">
        <v>1756</v>
      </c>
      <c r="U251" s="525" t="s">
        <v>666</v>
      </c>
      <c r="W251" s="446" t="s">
        <v>686</v>
      </c>
      <c r="X251" s="446" t="s">
        <v>3409</v>
      </c>
      <c r="Z251" s="446"/>
      <c r="AA251" s="28"/>
      <c r="AB251" s="28"/>
      <c r="AC251" s="997"/>
      <c r="AD251" s="536"/>
    </row>
    <row r="252" spans="2:30" ht="10.5" customHeight="1">
      <c r="B252" s="292"/>
      <c r="C252" s="394" t="s">
        <v>1935</v>
      </c>
      <c r="D252" s="460">
        <v>51200</v>
      </c>
      <c r="E252" s="292"/>
      <c r="F252" s="587"/>
      <c r="G252" s="1079" t="s">
        <v>1891</v>
      </c>
      <c r="H252" s="1079" t="s">
        <v>1223</v>
      </c>
      <c r="I252" s="1080" t="s">
        <v>11</v>
      </c>
      <c r="J252" s="1080" t="s">
        <v>2629</v>
      </c>
      <c r="K252" s="1081" t="s">
        <v>2597</v>
      </c>
      <c r="L252" s="1082" t="s">
        <v>426</v>
      </c>
      <c r="M252" s="2900" t="s">
        <v>2615</v>
      </c>
      <c r="N252" s="2900" t="s">
        <v>1338</v>
      </c>
      <c r="O252" s="2901" t="s">
        <v>4448</v>
      </c>
      <c r="P252" s="586" t="s">
        <v>238</v>
      </c>
      <c r="Q252" s="301"/>
      <c r="R252" s="177"/>
      <c r="S252" s="403"/>
      <c r="T252" s="525" t="s">
        <v>1758</v>
      </c>
      <c r="U252" s="525" t="s">
        <v>741</v>
      </c>
      <c r="W252" s="446" t="s">
        <v>673</v>
      </c>
      <c r="X252" s="446" t="s">
        <v>3409</v>
      </c>
      <c r="Z252" s="446"/>
      <c r="AA252" s="28"/>
      <c r="AB252" s="28"/>
      <c r="AC252" s="997"/>
      <c r="AD252" s="536"/>
    </row>
    <row r="253" spans="2:30" ht="10.5" customHeight="1">
      <c r="B253" s="292"/>
      <c r="C253" s="393" t="s">
        <v>2021</v>
      </c>
      <c r="D253" s="460">
        <v>44200</v>
      </c>
      <c r="E253" s="292"/>
      <c r="F253" s="587"/>
      <c r="G253" s="1079" t="s">
        <v>1892</v>
      </c>
      <c r="H253" s="1079" t="s">
        <v>1323</v>
      </c>
      <c r="I253" s="1083" t="s">
        <v>777</v>
      </c>
      <c r="J253" s="1083" t="s">
        <v>2629</v>
      </c>
      <c r="K253" s="1081" t="s">
        <v>703</v>
      </c>
      <c r="L253" s="1082" t="s">
        <v>426</v>
      </c>
      <c r="M253" s="2900" t="s">
        <v>2615</v>
      </c>
      <c r="N253" s="2900" t="s">
        <v>1217</v>
      </c>
      <c r="O253" s="2901" t="s">
        <v>4449</v>
      </c>
      <c r="P253" s="586" t="s">
        <v>240</v>
      </c>
      <c r="Q253" s="301"/>
      <c r="R253" s="177"/>
      <c r="S253" s="403"/>
      <c r="T253" s="525" t="s">
        <v>1032</v>
      </c>
      <c r="U253" s="525" t="s">
        <v>1326</v>
      </c>
      <c r="W253" s="446" t="s">
        <v>990</v>
      </c>
      <c r="X253" s="446" t="s">
        <v>3409</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2628</v>
      </c>
      <c r="K254" s="1081" t="s">
        <v>704</v>
      </c>
      <c r="L254" s="1082" t="s">
        <v>425</v>
      </c>
      <c r="M254" s="2902" t="s">
        <v>2615</v>
      </c>
      <c r="N254" s="2902" t="s">
        <v>1795</v>
      </c>
      <c r="O254" s="2901" t="s">
        <v>4450</v>
      </c>
      <c r="P254" s="586" t="s">
        <v>1275</v>
      </c>
      <c r="Q254" s="301"/>
      <c r="R254" s="177"/>
      <c r="S254" s="403"/>
      <c r="T254" s="525" t="s">
        <v>1035</v>
      </c>
      <c r="U254" s="525" t="s">
        <v>664</v>
      </c>
      <c r="W254" s="446" t="s">
        <v>994</v>
      </c>
      <c r="X254" s="446" t="s">
        <v>3409</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2628</v>
      </c>
      <c r="K255" s="1081" t="s">
        <v>705</v>
      </c>
      <c r="L255" s="1082" t="s">
        <v>425</v>
      </c>
      <c r="M255" s="2902" t="s">
        <v>2615</v>
      </c>
      <c r="N255" s="2902" t="s">
        <v>1795</v>
      </c>
      <c r="O255" s="2901" t="s">
        <v>4451</v>
      </c>
      <c r="P255" s="586" t="s">
        <v>2074</v>
      </c>
      <c r="Q255" s="301"/>
      <c r="R255" s="177"/>
      <c r="S255" s="403"/>
      <c r="T255" s="525" t="s">
        <v>239</v>
      </c>
      <c r="U255" s="525" t="s">
        <v>2545</v>
      </c>
      <c r="W255" s="446" t="s">
        <v>996</v>
      </c>
      <c r="X255" s="446" t="s">
        <v>3409</v>
      </c>
      <c r="Z255" s="446"/>
      <c r="AA255" s="28"/>
      <c r="AB255" s="28"/>
      <c r="AC255" s="997"/>
      <c r="AD255" s="536"/>
    </row>
    <row r="256" spans="2:30" ht="10.5" customHeight="1">
      <c r="B256" s="292"/>
      <c r="C256" s="393" t="s">
        <v>1722</v>
      </c>
      <c r="D256" s="460">
        <v>57900</v>
      </c>
      <c r="E256" s="292"/>
      <c r="F256" s="587"/>
      <c r="G256" s="1079" t="s">
        <v>1648</v>
      </c>
      <c r="H256" s="1079" t="s">
        <v>1323</v>
      </c>
      <c r="I256" s="1083" t="s">
        <v>2057</v>
      </c>
      <c r="J256" s="1083" t="s">
        <v>2629</v>
      </c>
      <c r="K256" s="1081" t="s">
        <v>706</v>
      </c>
      <c r="L256" s="1082" t="s">
        <v>426</v>
      </c>
      <c r="M256" s="2900" t="s">
        <v>2615</v>
      </c>
      <c r="N256" s="2900" t="s">
        <v>1217</v>
      </c>
      <c r="O256" s="2901" t="s">
        <v>4452</v>
      </c>
      <c r="P256" s="586" t="s">
        <v>2076</v>
      </c>
      <c r="Q256" s="301"/>
      <c r="R256" s="177"/>
      <c r="S256" s="403"/>
      <c r="T256" s="525" t="s">
        <v>2868</v>
      </c>
      <c r="U256" s="525" t="s">
        <v>883</v>
      </c>
      <c r="W256" s="446" t="s">
        <v>579</v>
      </c>
      <c r="X256" s="446" t="s">
        <v>3409</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2628</v>
      </c>
      <c r="K257" s="1081" t="s">
        <v>707</v>
      </c>
      <c r="L257" s="1082" t="s">
        <v>425</v>
      </c>
      <c r="M257" s="2902" t="s">
        <v>2615</v>
      </c>
      <c r="N257" s="2902" t="s">
        <v>1338</v>
      </c>
      <c r="O257" s="2901" t="s">
        <v>4453</v>
      </c>
      <c r="P257" s="586" t="s">
        <v>2078</v>
      </c>
      <c r="Q257" s="301"/>
      <c r="R257" s="177"/>
      <c r="S257" s="403"/>
      <c r="T257" s="292" t="s">
        <v>1771</v>
      </c>
      <c r="U257" s="292" t="s">
        <v>1107</v>
      </c>
      <c r="W257" s="446" t="s">
        <v>374</v>
      </c>
      <c r="X257" s="446" t="s">
        <v>3409</v>
      </c>
      <c r="Z257" s="446"/>
      <c r="AA257" s="28"/>
      <c r="AB257" s="28"/>
      <c r="AC257" s="997"/>
      <c r="AD257" s="536"/>
    </row>
    <row r="258" spans="2:30" ht="10.5" customHeight="1">
      <c r="B258" s="292"/>
      <c r="C258" s="393" t="s">
        <v>108</v>
      </c>
      <c r="D258" s="460">
        <v>46900</v>
      </c>
      <c r="F258" s="587"/>
      <c r="G258" s="1079" t="s">
        <v>2600</v>
      </c>
      <c r="H258" s="1079" t="s">
        <v>1323</v>
      </c>
      <c r="I258" s="1083" t="s">
        <v>2601</v>
      </c>
      <c r="J258" s="1080" t="s">
        <v>2629</v>
      </c>
      <c r="K258" s="1081" t="s">
        <v>3766</v>
      </c>
      <c r="L258" s="1082" t="s">
        <v>426</v>
      </c>
      <c r="M258" s="2902" t="s">
        <v>2615</v>
      </c>
      <c r="N258" s="2902" t="s">
        <v>1217</v>
      </c>
      <c r="O258" s="2901" t="s">
        <v>4454</v>
      </c>
      <c r="P258" s="586" t="s">
        <v>2080</v>
      </c>
      <c r="Q258" s="301"/>
      <c r="R258" s="177"/>
      <c r="S258" s="403"/>
      <c r="T258" s="525" t="s">
        <v>2075</v>
      </c>
      <c r="U258" s="525" t="s">
        <v>322</v>
      </c>
      <c r="W258" s="446" t="s">
        <v>1607</v>
      </c>
      <c r="X258" s="446" t="s">
        <v>3409</v>
      </c>
      <c r="Z258" s="446"/>
      <c r="AA258" s="28"/>
      <c r="AB258" s="28"/>
      <c r="AC258" s="536"/>
      <c r="AD258" s="536"/>
    </row>
    <row r="259" spans="2:30" ht="10.5" customHeight="1">
      <c r="B259" s="292"/>
      <c r="C259" s="393" t="s">
        <v>110</v>
      </c>
      <c r="D259" s="460">
        <v>48800</v>
      </c>
      <c r="F259" s="587"/>
      <c r="G259" s="1079" t="s">
        <v>2602</v>
      </c>
      <c r="H259" s="1079" t="s">
        <v>1323</v>
      </c>
      <c r="I259" s="1080" t="s">
        <v>2603</v>
      </c>
      <c r="J259" s="1080" t="s">
        <v>2629</v>
      </c>
      <c r="K259" s="1081" t="s">
        <v>1966</v>
      </c>
      <c r="L259" s="1082" t="s">
        <v>426</v>
      </c>
      <c r="M259" s="2900" t="s">
        <v>2615</v>
      </c>
      <c r="N259" s="2900" t="s">
        <v>1217</v>
      </c>
      <c r="O259" s="2901" t="s">
        <v>4455</v>
      </c>
      <c r="P259" s="586" t="s">
        <v>2082</v>
      </c>
      <c r="Q259" s="301"/>
      <c r="R259" s="177"/>
      <c r="S259" s="403"/>
      <c r="T259" s="525" t="s">
        <v>2077</v>
      </c>
      <c r="U259" s="525" t="s">
        <v>320</v>
      </c>
      <c r="W259" s="446" t="s">
        <v>1018</v>
      </c>
      <c r="X259" s="446" t="s">
        <v>3409</v>
      </c>
      <c r="Z259" s="446"/>
      <c r="AA259" s="28"/>
      <c r="AB259" s="28"/>
      <c r="AC259" s="997"/>
      <c r="AD259" s="536"/>
    </row>
    <row r="260" spans="2:30" ht="10.5" customHeight="1">
      <c r="B260" s="292"/>
      <c r="C260" s="393" t="s">
        <v>112</v>
      </c>
      <c r="D260" s="460">
        <v>45000</v>
      </c>
      <c r="F260" s="587"/>
      <c r="G260" s="1079" t="s">
        <v>2604</v>
      </c>
      <c r="H260" s="1079" t="s">
        <v>1323</v>
      </c>
      <c r="I260" s="1083" t="s">
        <v>162</v>
      </c>
      <c r="J260" s="1083" t="s">
        <v>2629</v>
      </c>
      <c r="K260" s="1081" t="s">
        <v>1695</v>
      </c>
      <c r="L260" s="1082" t="s">
        <v>426</v>
      </c>
      <c r="M260" s="2902" t="s">
        <v>1207</v>
      </c>
      <c r="N260" s="2902" t="s">
        <v>162</v>
      </c>
      <c r="O260" s="2901" t="s">
        <v>4456</v>
      </c>
      <c r="P260" s="586" t="s">
        <v>2084</v>
      </c>
      <c r="Q260" s="301"/>
      <c r="R260" s="177"/>
      <c r="S260" s="403"/>
      <c r="T260" s="525" t="s">
        <v>2079</v>
      </c>
      <c r="U260" s="525" t="s">
        <v>634</v>
      </c>
      <c r="W260" s="446" t="s">
        <v>1020</v>
      </c>
      <c r="X260" s="446" t="s">
        <v>3409</v>
      </c>
      <c r="Z260" s="446"/>
      <c r="AA260" s="28"/>
      <c r="AB260" s="28"/>
      <c r="AC260" s="997"/>
      <c r="AD260" s="536"/>
    </row>
    <row r="261" spans="2:30" ht="10.5" customHeight="1">
      <c r="B261" s="292"/>
      <c r="C261" s="393" t="s">
        <v>114</v>
      </c>
      <c r="D261" s="460">
        <v>36400</v>
      </c>
      <c r="F261" s="587"/>
      <c r="G261" s="1079" t="s">
        <v>2605</v>
      </c>
      <c r="H261" s="1079" t="s">
        <v>1323</v>
      </c>
      <c r="I261" s="1083" t="s">
        <v>772</v>
      </c>
      <c r="J261" s="1083" t="s">
        <v>2629</v>
      </c>
      <c r="K261" s="1081" t="s">
        <v>2592</v>
      </c>
      <c r="L261" s="1082" t="s">
        <v>426</v>
      </c>
      <c r="M261" s="2900" t="s">
        <v>1207</v>
      </c>
      <c r="N261" s="2900" t="s">
        <v>1217</v>
      </c>
      <c r="O261" s="2901" t="s">
        <v>4457</v>
      </c>
      <c r="P261" s="586" t="s">
        <v>681</v>
      </c>
      <c r="Q261" s="301"/>
      <c r="R261" s="177"/>
      <c r="S261" s="403"/>
      <c r="T261" s="525" t="s">
        <v>2081</v>
      </c>
      <c r="U261" s="525" t="s">
        <v>2602</v>
      </c>
      <c r="W261" s="446" t="s">
        <v>1692</v>
      </c>
      <c r="X261" s="446" t="s">
        <v>3409</v>
      </c>
      <c r="Z261" s="446"/>
      <c r="AA261" s="28"/>
      <c r="AB261" s="28"/>
      <c r="AC261" s="997"/>
      <c r="AD261" s="536"/>
    </row>
    <row r="262" spans="2:30" ht="10.5" customHeight="1">
      <c r="B262" s="292"/>
      <c r="C262" s="393" t="s">
        <v>116</v>
      </c>
      <c r="D262" s="460">
        <v>53200</v>
      </c>
      <c r="F262" s="587"/>
      <c r="G262" s="1079" t="s">
        <v>2606</v>
      </c>
      <c r="H262" s="1079" t="s">
        <v>1323</v>
      </c>
      <c r="I262" s="1080" t="s">
        <v>2058</v>
      </c>
      <c r="J262" s="1080" t="s">
        <v>2629</v>
      </c>
      <c r="K262" s="1081" t="s">
        <v>626</v>
      </c>
      <c r="L262" s="1082" t="s">
        <v>426</v>
      </c>
      <c r="M262" s="2900" t="s">
        <v>2615</v>
      </c>
      <c r="N262" s="2900" t="s">
        <v>167</v>
      </c>
      <c r="O262" s="2901" t="s">
        <v>4458</v>
      </c>
      <c r="P262" s="586" t="s">
        <v>2343</v>
      </c>
      <c r="Q262" s="301"/>
      <c r="R262" s="177"/>
      <c r="S262" s="403"/>
      <c r="T262" s="525" t="s">
        <v>695</v>
      </c>
      <c r="U262" s="525" t="s">
        <v>1218</v>
      </c>
      <c r="W262" s="446" t="s">
        <v>874</v>
      </c>
      <c r="X262" s="446" t="s">
        <v>3409</v>
      </c>
      <c r="Z262" s="446"/>
      <c r="AA262" s="28"/>
      <c r="AB262" s="28"/>
      <c r="AC262" s="997"/>
      <c r="AD262" s="536"/>
    </row>
    <row r="263" spans="2:30" ht="10.5" customHeight="1">
      <c r="B263" s="292"/>
      <c r="C263" s="393" t="s">
        <v>2411</v>
      </c>
      <c r="D263" s="460">
        <v>41400</v>
      </c>
      <c r="F263" s="587"/>
      <c r="G263" s="1079" t="s">
        <v>2607</v>
      </c>
      <c r="H263" s="1079" t="s">
        <v>1323</v>
      </c>
      <c r="I263" s="1080" t="s">
        <v>2058</v>
      </c>
      <c r="J263" s="1080" t="s">
        <v>2629</v>
      </c>
      <c r="K263" s="1081" t="s">
        <v>626</v>
      </c>
      <c r="L263" s="1082" t="s">
        <v>426</v>
      </c>
      <c r="M263" s="2900" t="s">
        <v>2615</v>
      </c>
      <c r="N263" s="2900" t="s">
        <v>167</v>
      </c>
      <c r="O263" s="2901" t="s">
        <v>4459</v>
      </c>
      <c r="P263" s="586" t="s">
        <v>2344</v>
      </c>
      <c r="Q263" s="301"/>
      <c r="R263" s="177"/>
      <c r="S263" s="403"/>
      <c r="T263" s="525" t="s">
        <v>2581</v>
      </c>
      <c r="U263" s="525" t="s">
        <v>2022</v>
      </c>
      <c r="W263" s="446" t="s">
        <v>1753</v>
      </c>
      <c r="X263" s="446" t="s">
        <v>3409</v>
      </c>
      <c r="Z263" s="446"/>
      <c r="AA263" s="28"/>
      <c r="AB263" s="28"/>
      <c r="AC263" s="997"/>
      <c r="AD263" s="536"/>
    </row>
    <row r="264" spans="2:30" ht="10.5" customHeight="1">
      <c r="B264" s="292"/>
      <c r="C264" s="393" t="s">
        <v>2413</v>
      </c>
      <c r="D264" s="460">
        <v>41000</v>
      </c>
      <c r="F264" s="587"/>
      <c r="G264" s="1079" t="s">
        <v>2608</v>
      </c>
      <c r="H264" s="1079" t="s">
        <v>1323</v>
      </c>
      <c r="I264" s="1083" t="s">
        <v>772</v>
      </c>
      <c r="J264" s="1083" t="s">
        <v>2629</v>
      </c>
      <c r="K264" s="1081" t="s">
        <v>2592</v>
      </c>
      <c r="L264" s="1082" t="s">
        <v>426</v>
      </c>
      <c r="M264" s="2900" t="s">
        <v>1207</v>
      </c>
      <c r="N264" s="2900" t="s">
        <v>1217</v>
      </c>
      <c r="O264" s="2901" t="s">
        <v>4460</v>
      </c>
      <c r="P264" s="586" t="s">
        <v>1258</v>
      </c>
      <c r="Q264" s="301"/>
      <c r="R264" s="177"/>
      <c r="S264" s="403"/>
      <c r="T264" s="525" t="s">
        <v>2083</v>
      </c>
      <c r="U264" s="525" t="s">
        <v>201</v>
      </c>
      <c r="W264" s="446" t="s">
        <v>637</v>
      </c>
      <c r="X264" s="446" t="s">
        <v>3409</v>
      </c>
      <c r="Z264" s="446"/>
      <c r="AA264" s="28"/>
      <c r="AB264" s="28"/>
      <c r="AC264" s="997"/>
      <c r="AD264" s="536"/>
    </row>
    <row r="265" spans="2:30" ht="10.5" customHeight="1">
      <c r="B265" s="292"/>
      <c r="C265" s="393" t="s">
        <v>2415</v>
      </c>
      <c r="D265" s="460">
        <v>44800</v>
      </c>
      <c r="F265" s="587"/>
      <c r="G265" s="1079" t="s">
        <v>1101</v>
      </c>
      <c r="H265" s="1079" t="s">
        <v>1323</v>
      </c>
      <c r="I265" s="1083" t="s">
        <v>1102</v>
      </c>
      <c r="J265" s="1083" t="s">
        <v>2628</v>
      </c>
      <c r="K265" s="1081" t="s">
        <v>1967</v>
      </c>
      <c r="L265" s="1082" t="s">
        <v>425</v>
      </c>
      <c r="M265" s="2902" t="s">
        <v>2615</v>
      </c>
      <c r="N265" s="2902" t="s">
        <v>1332</v>
      </c>
      <c r="O265" s="2901" t="s">
        <v>4461</v>
      </c>
      <c r="P265" s="586" t="s">
        <v>1260</v>
      </c>
      <c r="Q265" s="301"/>
      <c r="R265" s="177"/>
      <c r="S265" s="403"/>
      <c r="T265" s="525" t="s">
        <v>2869</v>
      </c>
      <c r="U265" s="525" t="s">
        <v>668</v>
      </c>
      <c r="W265" s="446" t="s">
        <v>2303</v>
      </c>
      <c r="X265" s="446" t="s">
        <v>3409</v>
      </c>
      <c r="Z265" s="446"/>
      <c r="AA265" s="28"/>
      <c r="AB265" s="28"/>
      <c r="AC265" s="997"/>
      <c r="AD265" s="536"/>
    </row>
    <row r="266" spans="2:30" ht="10.5" customHeight="1">
      <c r="F266" s="587"/>
      <c r="G266" s="1079" t="s">
        <v>1103</v>
      </c>
      <c r="H266" s="1079" t="s">
        <v>1323</v>
      </c>
      <c r="I266" s="1083" t="s">
        <v>772</v>
      </c>
      <c r="J266" s="1083" t="s">
        <v>2629</v>
      </c>
      <c r="K266" s="1081" t="s">
        <v>2592</v>
      </c>
      <c r="L266" s="1082" t="s">
        <v>426</v>
      </c>
      <c r="M266" s="2900" t="s">
        <v>1207</v>
      </c>
      <c r="N266" s="2900" t="s">
        <v>1217</v>
      </c>
      <c r="O266" s="2901" t="s">
        <v>4462</v>
      </c>
      <c r="P266" s="586" t="s">
        <v>1262</v>
      </c>
      <c r="Q266" s="301"/>
      <c r="R266" s="177"/>
      <c r="S266" s="403"/>
      <c r="T266" s="525" t="s">
        <v>2085</v>
      </c>
      <c r="U266" s="525" t="s">
        <v>201</v>
      </c>
      <c r="W266" s="446" t="s">
        <v>1043</v>
      </c>
      <c r="X266" s="446" t="s">
        <v>3409</v>
      </c>
      <c r="AA266" s="28"/>
      <c r="AB266" s="28"/>
      <c r="AC266" s="997"/>
      <c r="AD266" s="536"/>
    </row>
    <row r="267" spans="2:30" ht="10.5" customHeight="1">
      <c r="F267" s="587"/>
      <c r="G267" s="1079" t="s">
        <v>1104</v>
      </c>
      <c r="H267" s="1079" t="s">
        <v>1223</v>
      </c>
      <c r="I267" s="1080" t="s">
        <v>1105</v>
      </c>
      <c r="J267" s="1080" t="s">
        <v>2628</v>
      </c>
      <c r="K267" s="1081" t="s">
        <v>1968</v>
      </c>
      <c r="L267" s="1082" t="s">
        <v>425</v>
      </c>
      <c r="M267" s="2902" t="s">
        <v>2615</v>
      </c>
      <c r="N267" s="2902" t="s">
        <v>1709</v>
      </c>
      <c r="O267" s="2901" t="s">
        <v>4463</v>
      </c>
      <c r="P267" s="586" t="s">
        <v>1263</v>
      </c>
      <c r="Q267" s="301"/>
      <c r="R267" s="177"/>
      <c r="S267" s="403"/>
      <c r="T267" s="525" t="s">
        <v>682</v>
      </c>
      <c r="U267" s="525" t="s">
        <v>2022</v>
      </c>
      <c r="W267" s="446" t="s">
        <v>1958</v>
      </c>
      <c r="X267" s="446" t="s">
        <v>3409</v>
      </c>
      <c r="AA267" s="28"/>
      <c r="AB267" s="28"/>
      <c r="AC267" s="997"/>
      <c r="AD267" s="536"/>
    </row>
    <row r="268" spans="2:30" ht="10.5" customHeight="1">
      <c r="F268" s="587"/>
      <c r="G268" s="1079" t="s">
        <v>1106</v>
      </c>
      <c r="H268" s="1079" t="s">
        <v>1323</v>
      </c>
      <c r="I268" s="1083" t="s">
        <v>772</v>
      </c>
      <c r="J268" s="1083" t="s">
        <v>2629</v>
      </c>
      <c r="K268" s="1081" t="s">
        <v>2592</v>
      </c>
      <c r="L268" s="1082" t="s">
        <v>426</v>
      </c>
      <c r="M268" s="2900" t="s">
        <v>1207</v>
      </c>
      <c r="N268" s="2900" t="s">
        <v>1217</v>
      </c>
      <c r="O268" s="2901" t="s">
        <v>4464</v>
      </c>
      <c r="P268" s="586" t="s">
        <v>1265</v>
      </c>
      <c r="Q268" s="301"/>
      <c r="R268" s="177"/>
      <c r="S268" s="403"/>
      <c r="T268" s="525" t="s">
        <v>2345</v>
      </c>
      <c r="U268" s="525" t="s">
        <v>123</v>
      </c>
      <c r="W268" s="446" t="s">
        <v>497</v>
      </c>
      <c r="X268" s="446" t="s">
        <v>3409</v>
      </c>
      <c r="AA268" s="28"/>
      <c r="AB268" s="28"/>
      <c r="AC268" s="997"/>
      <c r="AD268" s="536"/>
    </row>
    <row r="269" spans="2:30" ht="10.5" customHeight="1">
      <c r="F269" s="587"/>
      <c r="G269" s="1079" t="s">
        <v>1107</v>
      </c>
      <c r="H269" s="1079" t="s">
        <v>1323</v>
      </c>
      <c r="I269" s="1080" t="s">
        <v>1108</v>
      </c>
      <c r="J269" s="1080" t="s">
        <v>2628</v>
      </c>
      <c r="K269" s="1081" t="s">
        <v>1969</v>
      </c>
      <c r="L269" s="1082" t="s">
        <v>425</v>
      </c>
      <c r="M269" s="2902" t="s">
        <v>2615</v>
      </c>
      <c r="N269" s="2902" t="s">
        <v>1217</v>
      </c>
      <c r="O269" s="2901" t="s">
        <v>4465</v>
      </c>
      <c r="P269" s="586" t="s">
        <v>2509</v>
      </c>
      <c r="Q269" s="301"/>
      <c r="R269" s="177"/>
      <c r="S269" s="403"/>
      <c r="T269" s="525" t="s">
        <v>1259</v>
      </c>
      <c r="U269" s="525" t="s">
        <v>634</v>
      </c>
      <c r="W269" s="446" t="s">
        <v>1659</v>
      </c>
      <c r="X269" s="446" t="s">
        <v>3409</v>
      </c>
      <c r="AA269" s="28"/>
      <c r="AB269" s="28"/>
      <c r="AC269" s="997"/>
      <c r="AD269" s="536"/>
    </row>
    <row r="270" spans="2:30" ht="10.5" customHeight="1">
      <c r="F270" s="587"/>
      <c r="G270" s="1079" t="s">
        <v>1109</v>
      </c>
      <c r="H270" s="1079" t="s">
        <v>1223</v>
      </c>
      <c r="I270" s="1083" t="s">
        <v>1110</v>
      </c>
      <c r="J270" s="1083" t="s">
        <v>2628</v>
      </c>
      <c r="K270" s="1081" t="s">
        <v>1970</v>
      </c>
      <c r="L270" s="1082" t="s">
        <v>425</v>
      </c>
      <c r="M270" s="2902" t="s">
        <v>2615</v>
      </c>
      <c r="N270" s="2902" t="s">
        <v>1332</v>
      </c>
      <c r="O270" s="2901" t="s">
        <v>4466</v>
      </c>
      <c r="P270" s="586" t="s">
        <v>83</v>
      </c>
      <c r="Q270" s="301"/>
      <c r="R270" s="177"/>
      <c r="S270" s="403"/>
      <c r="T270" s="525" t="s">
        <v>1261</v>
      </c>
      <c r="U270" s="525" t="s">
        <v>2259</v>
      </c>
      <c r="W270" s="446" t="s">
        <v>952</v>
      </c>
      <c r="X270" s="446" t="s">
        <v>3409</v>
      </c>
      <c r="AA270" s="28"/>
      <c r="AB270" s="28"/>
      <c r="AC270" s="997"/>
      <c r="AD270" s="536"/>
    </row>
    <row r="271" spans="2:30" ht="10.5" customHeight="1">
      <c r="F271" s="587"/>
      <c r="G271" s="1079" t="s">
        <v>1111</v>
      </c>
      <c r="H271" s="1079" t="s">
        <v>1323</v>
      </c>
      <c r="I271" s="1083" t="s">
        <v>1112</v>
      </c>
      <c r="J271" s="1083" t="s">
        <v>2628</v>
      </c>
      <c r="K271" s="1081" t="s">
        <v>1971</v>
      </c>
      <c r="L271" s="1082" t="s">
        <v>425</v>
      </c>
      <c r="M271" s="2902" t="s">
        <v>2615</v>
      </c>
      <c r="N271" s="2902" t="s">
        <v>1217</v>
      </c>
      <c r="O271" s="2901" t="s">
        <v>4467</v>
      </c>
      <c r="P271" s="586" t="s">
        <v>84</v>
      </c>
      <c r="Q271" s="301"/>
      <c r="R271" s="177"/>
      <c r="S271" s="403"/>
      <c r="T271" s="525" t="s">
        <v>2498</v>
      </c>
      <c r="U271" s="525" t="s">
        <v>1115</v>
      </c>
      <c r="W271" s="446" t="s">
        <v>2322</v>
      </c>
      <c r="X271" s="446" t="s">
        <v>3409</v>
      </c>
      <c r="AA271" s="28"/>
      <c r="AB271" s="28"/>
      <c r="AC271" s="997"/>
      <c r="AD271" s="536"/>
    </row>
    <row r="272" spans="2:30" ht="10.5" customHeight="1">
      <c r="F272" s="587"/>
      <c r="G272" s="1079" t="s">
        <v>1113</v>
      </c>
      <c r="H272" s="1079" t="s">
        <v>1223</v>
      </c>
      <c r="I272" s="1080" t="s">
        <v>1114</v>
      </c>
      <c r="J272" s="1080" t="s">
        <v>2628</v>
      </c>
      <c r="K272" s="1081" t="s">
        <v>1797</v>
      </c>
      <c r="L272" s="1082" t="s">
        <v>425</v>
      </c>
      <c r="M272" s="2902" t="s">
        <v>2615</v>
      </c>
      <c r="N272" s="2902" t="s">
        <v>162</v>
      </c>
      <c r="O272" s="2901" t="s">
        <v>4468</v>
      </c>
      <c r="P272" s="586" t="s">
        <v>85</v>
      </c>
      <c r="Q272" s="301"/>
      <c r="R272" s="177"/>
      <c r="S272" s="403"/>
      <c r="T272" s="525" t="s">
        <v>1264</v>
      </c>
      <c r="U272" s="525" t="s">
        <v>313</v>
      </c>
      <c r="W272" s="446" t="s">
        <v>325</v>
      </c>
      <c r="X272" s="446" t="s">
        <v>3409</v>
      </c>
      <c r="AA272" s="28"/>
      <c r="AB272" s="28"/>
      <c r="AC272" s="997"/>
      <c r="AD272" s="536"/>
    </row>
    <row r="273" spans="6:30" ht="10.5" customHeight="1">
      <c r="F273" s="587"/>
      <c r="G273" s="1079" t="s">
        <v>1115</v>
      </c>
      <c r="H273" s="1079" t="s">
        <v>1323</v>
      </c>
      <c r="I273" s="1080" t="s">
        <v>1116</v>
      </c>
      <c r="J273" s="1080" t="s">
        <v>2628</v>
      </c>
      <c r="K273" s="1081" t="s">
        <v>1798</v>
      </c>
      <c r="L273" s="1082" t="s">
        <v>425</v>
      </c>
      <c r="M273" s="2902" t="s">
        <v>2615</v>
      </c>
      <c r="N273" s="2902" t="s">
        <v>167</v>
      </c>
      <c r="O273" s="2901" t="s">
        <v>4469</v>
      </c>
      <c r="P273" s="586" t="s">
        <v>87</v>
      </c>
      <c r="Q273" s="301"/>
      <c r="R273" s="177"/>
      <c r="S273" s="403"/>
      <c r="T273" s="525" t="s">
        <v>2508</v>
      </c>
      <c r="U273" s="525" t="s">
        <v>115</v>
      </c>
      <c r="W273" s="446" t="s">
        <v>327</v>
      </c>
      <c r="X273" s="446" t="s">
        <v>3409</v>
      </c>
      <c r="AA273" s="28"/>
      <c r="AB273" s="28"/>
      <c r="AC273" s="997"/>
      <c r="AD273" s="536"/>
    </row>
    <row r="274" spans="6:30" ht="10.5" customHeight="1">
      <c r="F274" s="587"/>
      <c r="G274" s="1079" t="s">
        <v>1117</v>
      </c>
      <c r="H274" s="1079" t="s">
        <v>1223</v>
      </c>
      <c r="I274" s="1080" t="s">
        <v>1118</v>
      </c>
      <c r="J274" s="1080" t="s">
        <v>2628</v>
      </c>
      <c r="K274" s="1081" t="s">
        <v>1799</v>
      </c>
      <c r="L274" s="1082" t="s">
        <v>425</v>
      </c>
      <c r="M274" s="2902" t="s">
        <v>2615</v>
      </c>
      <c r="N274" s="2902" t="s">
        <v>1795</v>
      </c>
      <c r="O274" s="2901" t="s">
        <v>4470</v>
      </c>
      <c r="P274" s="586" t="s">
        <v>1239</v>
      </c>
      <c r="Q274" s="301"/>
      <c r="R274" s="177"/>
      <c r="S274" s="403"/>
      <c r="T274" s="525" t="s">
        <v>82</v>
      </c>
      <c r="U274" s="525" t="s">
        <v>198</v>
      </c>
      <c r="W274" s="446" t="s">
        <v>330</v>
      </c>
      <c r="X274" s="446" t="s">
        <v>3409</v>
      </c>
      <c r="AA274" s="28"/>
      <c r="AB274" s="28"/>
      <c r="AC274" s="997"/>
      <c r="AD274" s="536"/>
    </row>
    <row r="275" spans="6:30" ht="10.5" customHeight="1">
      <c r="F275" s="587"/>
      <c r="G275" s="1079" t="s">
        <v>1119</v>
      </c>
      <c r="H275" s="1079" t="s">
        <v>1809</v>
      </c>
      <c r="I275" s="1083" t="s">
        <v>773</v>
      </c>
      <c r="J275" s="1083" t="s">
        <v>2629</v>
      </c>
      <c r="K275" s="1081" t="s">
        <v>2614</v>
      </c>
      <c r="L275" s="1082" t="s">
        <v>426</v>
      </c>
      <c r="M275" s="2902" t="s">
        <v>1207</v>
      </c>
      <c r="N275" s="2902" t="s">
        <v>1342</v>
      </c>
      <c r="O275" s="2901" t="s">
        <v>4471</v>
      </c>
      <c r="P275" s="586" t="s">
        <v>1241</v>
      </c>
      <c r="Q275" s="301"/>
      <c r="R275" s="177"/>
      <c r="S275" s="403"/>
      <c r="T275" s="525" t="s">
        <v>86</v>
      </c>
      <c r="U275" s="525" t="s">
        <v>2198</v>
      </c>
      <c r="W275" s="446" t="s">
        <v>1769</v>
      </c>
      <c r="X275" s="446" t="s">
        <v>3409</v>
      </c>
      <c r="AA275" s="28"/>
      <c r="AB275" s="28"/>
      <c r="AC275" s="997"/>
      <c r="AD275" s="536"/>
    </row>
    <row r="276" spans="6:30" ht="10.5" customHeight="1">
      <c r="F276" s="587"/>
      <c r="G276" s="1079" t="s">
        <v>1120</v>
      </c>
      <c r="H276" s="1079" t="s">
        <v>1323</v>
      </c>
      <c r="I276" s="1083" t="s">
        <v>772</v>
      </c>
      <c r="J276" s="1083" t="s">
        <v>2629</v>
      </c>
      <c r="K276" s="1081" t="s">
        <v>2592</v>
      </c>
      <c r="L276" s="1082" t="s">
        <v>426</v>
      </c>
      <c r="M276" s="2900" t="s">
        <v>1207</v>
      </c>
      <c r="N276" s="2900" t="s">
        <v>1217</v>
      </c>
      <c r="O276" s="2901" t="s">
        <v>4472</v>
      </c>
      <c r="P276" s="586" t="s">
        <v>1243</v>
      </c>
      <c r="Q276" s="301"/>
      <c r="R276" s="177"/>
      <c r="S276" s="403"/>
      <c r="T276" s="525" t="s">
        <v>88</v>
      </c>
      <c r="U276" s="525" t="s">
        <v>1333</v>
      </c>
      <c r="W276" s="446" t="s">
        <v>698</v>
      </c>
      <c r="X276" s="446" t="s">
        <v>3409</v>
      </c>
      <c r="AA276" s="28"/>
      <c r="AB276" s="28"/>
      <c r="AC276" s="997"/>
      <c r="AD276" s="536"/>
    </row>
    <row r="277" spans="6:30" ht="10.5" customHeight="1">
      <c r="F277" s="587"/>
      <c r="G277" s="1079" t="s">
        <v>1121</v>
      </c>
      <c r="H277" s="1079" t="s">
        <v>1323</v>
      </c>
      <c r="I277" s="1080" t="s">
        <v>2182</v>
      </c>
      <c r="J277" s="1080" t="s">
        <v>2628</v>
      </c>
      <c r="K277" s="1081" t="s">
        <v>1800</v>
      </c>
      <c r="L277" s="1082" t="s">
        <v>425</v>
      </c>
      <c r="M277" s="2902" t="s">
        <v>2615</v>
      </c>
      <c r="N277" s="2902" t="s">
        <v>162</v>
      </c>
      <c r="O277" s="2901" t="s">
        <v>4473</v>
      </c>
      <c r="P277" s="586" t="s">
        <v>1245</v>
      </c>
      <c r="Q277" s="301"/>
      <c r="R277" s="177"/>
      <c r="S277" s="403"/>
      <c r="T277" s="525" t="s">
        <v>1240</v>
      </c>
      <c r="U277" s="525" t="s">
        <v>1964</v>
      </c>
      <c r="W277" s="446" t="s">
        <v>2368</v>
      </c>
      <c r="X277" s="446" t="s">
        <v>3409</v>
      </c>
      <c r="AA277" s="28"/>
      <c r="AB277" s="28"/>
      <c r="AC277" s="997"/>
      <c r="AD277" s="536"/>
    </row>
    <row r="278" spans="6:30" ht="10.5" customHeight="1">
      <c r="F278" s="587"/>
      <c r="G278" s="1079" t="s">
        <v>2183</v>
      </c>
      <c r="H278" s="1079" t="s">
        <v>1223</v>
      </c>
      <c r="I278" s="1080" t="s">
        <v>2184</v>
      </c>
      <c r="J278" s="1080" t="s">
        <v>2628</v>
      </c>
      <c r="K278" s="1081" t="s">
        <v>1801</v>
      </c>
      <c r="L278" s="1082" t="s">
        <v>425</v>
      </c>
      <c r="M278" s="2902" t="s">
        <v>2615</v>
      </c>
      <c r="N278" s="2902" t="s">
        <v>1338</v>
      </c>
      <c r="O278" s="2901" t="s">
        <v>4474</v>
      </c>
      <c r="P278" s="586" t="s">
        <v>1247</v>
      </c>
      <c r="Q278" s="301"/>
      <c r="R278" s="177"/>
      <c r="S278" s="403"/>
      <c r="T278" s="525" t="s">
        <v>1242</v>
      </c>
      <c r="U278" s="525" t="s">
        <v>180</v>
      </c>
      <c r="W278" s="446" t="s">
        <v>479</v>
      </c>
      <c r="X278" s="446" t="s">
        <v>3409</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4475</v>
      </c>
      <c r="P279" s="586" t="s">
        <v>1249</v>
      </c>
      <c r="Q279" s="301"/>
      <c r="R279" s="177"/>
      <c r="S279" s="403"/>
      <c r="T279" s="525" t="s">
        <v>1244</v>
      </c>
      <c r="U279" s="525" t="s">
        <v>1117</v>
      </c>
      <c r="W279" s="446" t="s">
        <v>3402</v>
      </c>
      <c r="X279" s="446" t="s">
        <v>3409</v>
      </c>
      <c r="AA279" s="28"/>
      <c r="AB279" s="28"/>
      <c r="AC279" s="997"/>
      <c r="AD279" s="536"/>
    </row>
    <row r="280" spans="6:30" ht="10.5" customHeight="1">
      <c r="F280" s="587"/>
      <c r="G280" s="1079" t="s">
        <v>2185</v>
      </c>
      <c r="H280" s="1079" t="s">
        <v>1223</v>
      </c>
      <c r="I280" s="1083" t="s">
        <v>2186</v>
      </c>
      <c r="J280" s="1080" t="s">
        <v>2628</v>
      </c>
      <c r="K280" s="1081" t="s">
        <v>460</v>
      </c>
      <c r="L280" s="1082" t="s">
        <v>425</v>
      </c>
      <c r="M280" s="2902" t="s">
        <v>2615</v>
      </c>
      <c r="N280" s="2902" t="s">
        <v>1795</v>
      </c>
      <c r="O280" s="2901" t="s">
        <v>4476</v>
      </c>
      <c r="P280" s="586" t="s">
        <v>900</v>
      </c>
      <c r="Q280" s="301"/>
      <c r="R280" s="177"/>
      <c r="S280" s="403"/>
      <c r="T280" s="292" t="s">
        <v>1246</v>
      </c>
      <c r="U280" s="292" t="s">
        <v>1218</v>
      </c>
      <c r="W280" s="446" t="s">
        <v>3403</v>
      </c>
      <c r="X280" s="446" t="s">
        <v>3409</v>
      </c>
      <c r="AA280" s="28"/>
      <c r="AB280" s="28"/>
      <c r="AC280" s="997"/>
      <c r="AD280" s="536"/>
    </row>
    <row r="281" spans="6:30" ht="10.5" customHeight="1">
      <c r="F281" s="587"/>
      <c r="G281" s="1079" t="s">
        <v>2187</v>
      </c>
      <c r="H281" s="1079" t="s">
        <v>1323</v>
      </c>
      <c r="I281" s="1083" t="s">
        <v>772</v>
      </c>
      <c r="J281" s="1083" t="s">
        <v>2629</v>
      </c>
      <c r="K281" s="1081" t="s">
        <v>2592</v>
      </c>
      <c r="L281" s="1082" t="s">
        <v>426</v>
      </c>
      <c r="M281" s="2900" t="s">
        <v>1207</v>
      </c>
      <c r="N281" s="2902" t="s">
        <v>1217</v>
      </c>
      <c r="O281" s="2901" t="s">
        <v>4477</v>
      </c>
      <c r="P281" s="586" t="s">
        <v>901</v>
      </c>
      <c r="Q281" s="301"/>
      <c r="R281" s="177"/>
      <c r="S281" s="403"/>
      <c r="T281" s="525" t="s">
        <v>1248</v>
      </c>
      <c r="U281" s="525" t="s">
        <v>2198</v>
      </c>
      <c r="W281" s="446" t="s">
        <v>79</v>
      </c>
      <c r="X281" s="446" t="s">
        <v>3409</v>
      </c>
      <c r="AA281" s="28"/>
      <c r="AB281" s="28"/>
      <c r="AC281" s="536"/>
      <c r="AD281" s="536"/>
    </row>
    <row r="282" spans="6:30" ht="10.5" customHeight="1">
      <c r="F282" s="587"/>
      <c r="G282" s="1079" t="s">
        <v>2188</v>
      </c>
      <c r="H282" s="1079" t="s">
        <v>1323</v>
      </c>
      <c r="I282" s="1083" t="s">
        <v>2189</v>
      </c>
      <c r="J282" s="1083" t="s">
        <v>2628</v>
      </c>
      <c r="K282" s="1081" t="s">
        <v>223</v>
      </c>
      <c r="L282" s="1082" t="s">
        <v>425</v>
      </c>
      <c r="M282" s="2902" t="s">
        <v>2615</v>
      </c>
      <c r="N282" s="2900" t="s">
        <v>167</v>
      </c>
      <c r="O282" s="2901" t="s">
        <v>4478</v>
      </c>
      <c r="P282" s="586" t="s">
        <v>903</v>
      </c>
      <c r="Q282" s="301"/>
      <c r="R282" s="177"/>
      <c r="S282" s="403"/>
      <c r="T282" s="525" t="s">
        <v>2504</v>
      </c>
      <c r="U282" s="525" t="s">
        <v>1644</v>
      </c>
      <c r="W282" s="446" t="s">
        <v>2428</v>
      </c>
      <c r="X282" s="446" t="s">
        <v>3409</v>
      </c>
      <c r="AA282" s="28"/>
      <c r="AB282" s="28"/>
      <c r="AC282" s="997"/>
      <c r="AD282" s="536"/>
    </row>
    <row r="283" spans="6:30" ht="10.5" customHeight="1">
      <c r="F283" s="587"/>
      <c r="G283" s="1079" t="s">
        <v>2190</v>
      </c>
      <c r="H283" s="1079" t="s">
        <v>1223</v>
      </c>
      <c r="I283" s="1080" t="s">
        <v>2191</v>
      </c>
      <c r="J283" s="1083" t="s">
        <v>2628</v>
      </c>
      <c r="K283" s="1081" t="s">
        <v>1433</v>
      </c>
      <c r="L283" s="1082" t="s">
        <v>425</v>
      </c>
      <c r="M283" s="2902" t="s">
        <v>2615</v>
      </c>
      <c r="N283" s="2902" t="s">
        <v>162</v>
      </c>
      <c r="O283" s="2901" t="s">
        <v>4479</v>
      </c>
      <c r="P283" s="586" t="s">
        <v>905</v>
      </c>
      <c r="Q283" s="301"/>
      <c r="R283" s="177"/>
      <c r="S283" s="403"/>
      <c r="T283" s="525" t="s">
        <v>162</v>
      </c>
      <c r="U283" s="525" t="s">
        <v>2604</v>
      </c>
      <c r="W283" s="446" t="s">
        <v>619</v>
      </c>
      <c r="X283" s="446" t="s">
        <v>3409</v>
      </c>
      <c r="AA283" s="28"/>
      <c r="AB283" s="28"/>
      <c r="AC283" s="997"/>
      <c r="AD283" s="536"/>
    </row>
    <row r="284" spans="6:30" ht="10.5" customHeight="1">
      <c r="F284" s="587"/>
      <c r="G284" s="1079" t="s">
        <v>2192</v>
      </c>
      <c r="H284" s="1079" t="s">
        <v>1223</v>
      </c>
      <c r="I284" s="1080" t="s">
        <v>2193</v>
      </c>
      <c r="J284" s="1080" t="s">
        <v>2628</v>
      </c>
      <c r="K284" s="1081" t="s">
        <v>1434</v>
      </c>
      <c r="L284" s="1082" t="s">
        <v>425</v>
      </c>
      <c r="M284" s="2902" t="s">
        <v>2615</v>
      </c>
      <c r="N284" s="2902" t="s">
        <v>1795</v>
      </c>
      <c r="O284" s="2901" t="s">
        <v>4480</v>
      </c>
      <c r="P284" s="586" t="s">
        <v>2153</v>
      </c>
      <c r="Q284" s="301"/>
      <c r="R284" s="177"/>
      <c r="S284" s="403"/>
      <c r="T284" s="525" t="s">
        <v>902</v>
      </c>
      <c r="U284" s="525" t="s">
        <v>180</v>
      </c>
      <c r="W284" s="446" t="s">
        <v>976</v>
      </c>
      <c r="X284" s="446" t="s">
        <v>3409</v>
      </c>
      <c r="AA284" s="28"/>
      <c r="AB284" s="28"/>
      <c r="AC284" s="997"/>
      <c r="AD284" s="536"/>
    </row>
    <row r="285" spans="6:30" ht="10.5" customHeight="1">
      <c r="F285" s="587"/>
      <c r="G285" s="1079" t="s">
        <v>2194</v>
      </c>
      <c r="H285" s="1079" t="s">
        <v>1323</v>
      </c>
      <c r="I285" s="1080" t="s">
        <v>2195</v>
      </c>
      <c r="J285" s="1080" t="s">
        <v>2628</v>
      </c>
      <c r="K285" s="1081" t="s">
        <v>1435</v>
      </c>
      <c r="L285" s="1082" t="s">
        <v>425</v>
      </c>
      <c r="M285" s="2902" t="s">
        <v>2615</v>
      </c>
      <c r="N285" s="2902" t="s">
        <v>162</v>
      </c>
      <c r="O285" s="2901" t="s">
        <v>4481</v>
      </c>
      <c r="P285" s="586" t="s">
        <v>2154</v>
      </c>
      <c r="Q285" s="301"/>
      <c r="R285" s="177"/>
      <c r="S285" s="403"/>
      <c r="T285" s="525" t="s">
        <v>904</v>
      </c>
      <c r="U285" s="525" t="s">
        <v>325</v>
      </c>
      <c r="W285" s="446" t="s">
        <v>1504</v>
      </c>
      <c r="X285" s="446" t="s">
        <v>3409</v>
      </c>
      <c r="AA285" s="28"/>
      <c r="AB285" s="28"/>
      <c r="AC285" s="997"/>
      <c r="AD285" s="536"/>
    </row>
    <row r="286" spans="6:30" ht="10.5" customHeight="1">
      <c r="F286" s="587"/>
      <c r="G286" s="1079" t="s">
        <v>2196</v>
      </c>
      <c r="H286" s="1079" t="s">
        <v>1323</v>
      </c>
      <c r="I286" s="1080" t="s">
        <v>2197</v>
      </c>
      <c r="J286" s="1080" t="s">
        <v>2628</v>
      </c>
      <c r="K286" s="1081" t="s">
        <v>2027</v>
      </c>
      <c r="L286" s="1082" t="s">
        <v>425</v>
      </c>
      <c r="M286" s="2902" t="s">
        <v>2615</v>
      </c>
      <c r="N286" s="2902" t="s">
        <v>167</v>
      </c>
      <c r="O286" s="2901" t="s">
        <v>4482</v>
      </c>
      <c r="P286" s="586" t="s">
        <v>2070</v>
      </c>
      <c r="Q286" s="301"/>
      <c r="R286" s="177"/>
      <c r="S286" s="403"/>
      <c r="T286" s="292" t="s">
        <v>906</v>
      </c>
      <c r="U286" s="292" t="s">
        <v>1106</v>
      </c>
      <c r="W286" s="446" t="s">
        <v>2352</v>
      </c>
      <c r="X286" s="446" t="s">
        <v>3409</v>
      </c>
      <c r="AA286" s="28"/>
      <c r="AB286" s="28"/>
      <c r="AC286" s="997"/>
      <c r="AD286" s="536"/>
    </row>
    <row r="287" spans="6:30" ht="10.5" customHeight="1">
      <c r="F287" s="587"/>
      <c r="G287" s="1079" t="s">
        <v>2198</v>
      </c>
      <c r="H287" s="1079" t="s">
        <v>1223</v>
      </c>
      <c r="I287" s="1080" t="s">
        <v>2199</v>
      </c>
      <c r="J287" s="1080" t="s">
        <v>2628</v>
      </c>
      <c r="K287" s="1081" t="s">
        <v>2028</v>
      </c>
      <c r="L287" s="1082" t="s">
        <v>425</v>
      </c>
      <c r="M287" s="2902" t="s">
        <v>2615</v>
      </c>
      <c r="N287" s="2902" t="s">
        <v>1338</v>
      </c>
      <c r="O287" s="2901" t="s">
        <v>4483</v>
      </c>
      <c r="P287" s="586" t="s">
        <v>2072</v>
      </c>
      <c r="Q287" s="301"/>
      <c r="R287" s="177"/>
      <c r="S287" s="403"/>
      <c r="T287" s="525" t="s">
        <v>2582</v>
      </c>
      <c r="U287" s="525" t="s">
        <v>2498</v>
      </c>
      <c r="W287" s="446" t="s">
        <v>829</v>
      </c>
      <c r="X287" s="446" t="s">
        <v>3409</v>
      </c>
      <c r="AA287" s="28"/>
      <c r="AB287" s="28"/>
      <c r="AC287" s="536"/>
      <c r="AD287" s="536"/>
    </row>
    <row r="288" spans="6:30" ht="10.5" customHeight="1">
      <c r="F288" s="587"/>
      <c r="G288" s="1079" t="s">
        <v>2200</v>
      </c>
      <c r="H288" s="1079" t="s">
        <v>1323</v>
      </c>
      <c r="I288" s="1080" t="s">
        <v>879</v>
      </c>
      <c r="J288" s="1080" t="s">
        <v>2628</v>
      </c>
      <c r="K288" s="1081" t="s">
        <v>2029</v>
      </c>
      <c r="L288" s="1082" t="s">
        <v>425</v>
      </c>
      <c r="M288" s="2902" t="s">
        <v>2615</v>
      </c>
      <c r="N288" s="2902" t="s">
        <v>162</v>
      </c>
      <c r="O288" s="2901" t="s">
        <v>4484</v>
      </c>
      <c r="P288" s="586" t="s">
        <v>603</v>
      </c>
      <c r="Q288" s="301"/>
      <c r="R288" s="177"/>
      <c r="S288" s="403"/>
      <c r="T288" s="525" t="s">
        <v>2155</v>
      </c>
      <c r="U288" s="525" t="s">
        <v>1120</v>
      </c>
      <c r="W288" s="446" t="s">
        <v>832</v>
      </c>
      <c r="X288" s="446" t="s">
        <v>3409</v>
      </c>
      <c r="AA288" s="28"/>
      <c r="AB288" s="28"/>
      <c r="AC288" s="997"/>
      <c r="AD288" s="536"/>
    </row>
    <row r="289" spans="6:30" ht="10.5" customHeight="1">
      <c r="F289" s="587"/>
      <c r="G289" s="1079" t="s">
        <v>880</v>
      </c>
      <c r="H289" s="1079" t="s">
        <v>1223</v>
      </c>
      <c r="I289" s="1080" t="s">
        <v>881</v>
      </c>
      <c r="J289" s="1080" t="s">
        <v>2628</v>
      </c>
      <c r="K289" s="1081" t="s">
        <v>2030</v>
      </c>
      <c r="L289" s="1082" t="s">
        <v>425</v>
      </c>
      <c r="M289" s="2902" t="s">
        <v>2615</v>
      </c>
      <c r="N289" s="2902" t="s">
        <v>1795</v>
      </c>
      <c r="O289" s="2901" t="s">
        <v>4485</v>
      </c>
      <c r="P289" s="586" t="s">
        <v>604</v>
      </c>
      <c r="Q289" s="301"/>
      <c r="R289" s="177"/>
      <c r="S289" s="403"/>
      <c r="T289" s="525" t="s">
        <v>2071</v>
      </c>
      <c r="U289" s="525" t="s">
        <v>1679</v>
      </c>
      <c r="W289" s="446" t="s">
        <v>1521</v>
      </c>
      <c r="X289" s="446" t="s">
        <v>3409</v>
      </c>
      <c r="AA289" s="28"/>
      <c r="AB289" s="28"/>
      <c r="AC289" s="997"/>
      <c r="AD289" s="536"/>
    </row>
    <row r="290" spans="6:30" ht="10.5" customHeight="1">
      <c r="F290" s="587"/>
      <c r="G290" s="1079" t="s">
        <v>1678</v>
      </c>
      <c r="H290" s="1079" t="s">
        <v>1223</v>
      </c>
      <c r="I290" s="1083" t="s">
        <v>1795</v>
      </c>
      <c r="J290" s="1080" t="s">
        <v>2629</v>
      </c>
      <c r="K290" s="1081" t="s">
        <v>1171</v>
      </c>
      <c r="L290" s="1082" t="s">
        <v>426</v>
      </c>
      <c r="M290" s="2900" t="s">
        <v>2615</v>
      </c>
      <c r="N290" s="2902" t="s">
        <v>1795</v>
      </c>
      <c r="O290" s="2901" t="s">
        <v>4486</v>
      </c>
      <c r="P290" s="586" t="s">
        <v>606</v>
      </c>
      <c r="Q290" s="301"/>
      <c r="R290" s="177"/>
      <c r="S290" s="403"/>
      <c r="T290" s="525" t="s">
        <v>2073</v>
      </c>
      <c r="U290" s="525" t="s">
        <v>2549</v>
      </c>
      <c r="W290" s="446" t="s">
        <v>487</v>
      </c>
      <c r="X290" s="446" t="s">
        <v>3409</v>
      </c>
      <c r="AA290" s="28"/>
      <c r="AB290" s="28"/>
      <c r="AC290" s="997"/>
      <c r="AD290" s="536"/>
    </row>
    <row r="291" spans="6:30" ht="10.5" customHeight="1">
      <c r="F291" s="587"/>
      <c r="G291" s="1079" t="s">
        <v>1679</v>
      </c>
      <c r="H291" s="1079" t="s">
        <v>1223</v>
      </c>
      <c r="I291" s="1083" t="s">
        <v>1680</v>
      </c>
      <c r="J291" s="1083" t="s">
        <v>2628</v>
      </c>
      <c r="K291" s="1081" t="s">
        <v>2031</v>
      </c>
      <c r="L291" s="1082" t="s">
        <v>425</v>
      </c>
      <c r="M291" s="2902" t="s">
        <v>2615</v>
      </c>
      <c r="N291" s="2900" t="s">
        <v>1709</v>
      </c>
      <c r="O291" s="2901" t="s">
        <v>4487</v>
      </c>
      <c r="P291" s="586" t="s">
        <v>608</v>
      </c>
      <c r="Q291" s="301"/>
      <c r="R291" s="177"/>
      <c r="S291" s="403"/>
      <c r="T291" s="525" t="s">
        <v>834</v>
      </c>
      <c r="U291" s="525" t="s">
        <v>320</v>
      </c>
      <c r="W291" s="446" t="s">
        <v>1405</v>
      </c>
      <c r="X291" s="446" t="s">
        <v>3409</v>
      </c>
      <c r="AA291" s="28"/>
      <c r="AB291" s="28"/>
      <c r="AC291" s="997"/>
      <c r="AD291" s="536"/>
    </row>
    <row r="292" spans="6:30" ht="10.5" customHeight="1">
      <c r="F292" s="587"/>
      <c r="G292" s="1079" t="s">
        <v>1681</v>
      </c>
      <c r="H292" s="1079" t="s">
        <v>1223</v>
      </c>
      <c r="I292" s="1083" t="s">
        <v>1922</v>
      </c>
      <c r="J292" s="1083" t="s">
        <v>2628</v>
      </c>
      <c r="K292" s="1081" t="s">
        <v>1176</v>
      </c>
      <c r="L292" s="1082" t="s">
        <v>425</v>
      </c>
      <c r="M292" s="2902" t="s">
        <v>2615</v>
      </c>
      <c r="N292" s="2902" t="s">
        <v>1795</v>
      </c>
      <c r="O292" s="2901" t="s">
        <v>4488</v>
      </c>
      <c r="P292" s="586" t="s">
        <v>609</v>
      </c>
      <c r="Q292" s="301"/>
      <c r="R292" s="177"/>
      <c r="S292" s="403"/>
      <c r="T292" s="525" t="s">
        <v>605</v>
      </c>
      <c r="U292" s="525" t="s">
        <v>123</v>
      </c>
      <c r="W292" s="446" t="s">
        <v>1407</v>
      </c>
      <c r="X292" s="446" t="s">
        <v>3409</v>
      </c>
      <c r="AA292" s="28"/>
      <c r="AB292" s="28"/>
      <c r="AC292" s="997"/>
      <c r="AD292" s="1000"/>
    </row>
    <row r="293" spans="6:30" ht="10.5" customHeight="1">
      <c r="F293" s="587"/>
      <c r="G293" s="1079" t="s">
        <v>1923</v>
      </c>
      <c r="H293" s="1079" t="s">
        <v>1223</v>
      </c>
      <c r="I293" s="1083" t="s">
        <v>1924</v>
      </c>
      <c r="J293" s="1083" t="s">
        <v>2628</v>
      </c>
      <c r="K293" s="1081" t="s">
        <v>1177</v>
      </c>
      <c r="L293" s="1082" t="s">
        <v>425</v>
      </c>
      <c r="M293" s="2902" t="s">
        <v>2615</v>
      </c>
      <c r="N293" s="2902" t="s">
        <v>1338</v>
      </c>
      <c r="O293" s="2901" t="s">
        <v>4489</v>
      </c>
      <c r="P293" s="586" t="s">
        <v>610</v>
      </c>
      <c r="Q293" s="301"/>
      <c r="R293" s="177"/>
      <c r="S293" s="403"/>
      <c r="T293" s="525" t="s">
        <v>2583</v>
      </c>
      <c r="U293" s="525" t="s">
        <v>1339</v>
      </c>
      <c r="W293" s="446" t="s">
        <v>2507</v>
      </c>
      <c r="X293" s="446" t="s">
        <v>3409</v>
      </c>
      <c r="AA293" s="28"/>
      <c r="AB293" s="28"/>
      <c r="AC293" s="997"/>
      <c r="AD293" s="536"/>
    </row>
    <row r="294" spans="6:30" ht="10.5" customHeight="1">
      <c r="F294" s="587"/>
      <c r="G294" s="1079" t="s">
        <v>1925</v>
      </c>
      <c r="H294" s="1079" t="s">
        <v>1323</v>
      </c>
      <c r="I294" s="1083" t="s">
        <v>1926</v>
      </c>
      <c r="J294" s="1083" t="s">
        <v>2628</v>
      </c>
      <c r="K294" s="1081" t="s">
        <v>1178</v>
      </c>
      <c r="L294" s="1082" t="s">
        <v>425</v>
      </c>
      <c r="M294" s="2902" t="s">
        <v>2615</v>
      </c>
      <c r="N294" s="2902" t="s">
        <v>167</v>
      </c>
      <c r="O294" s="2901" t="s">
        <v>4490</v>
      </c>
      <c r="P294" s="586" t="s">
        <v>612</v>
      </c>
      <c r="Q294" s="301"/>
      <c r="R294" s="177"/>
      <c r="S294" s="403"/>
      <c r="T294" s="525" t="s">
        <v>607</v>
      </c>
      <c r="U294" s="525" t="s">
        <v>2605</v>
      </c>
      <c r="W294" s="446" t="s">
        <v>1067</v>
      </c>
      <c r="X294" s="446" t="s">
        <v>3409</v>
      </c>
      <c r="AA294" s="28"/>
      <c r="AB294" s="28"/>
      <c r="AC294" s="997"/>
      <c r="AD294" s="536"/>
    </row>
    <row r="295" spans="6:30" ht="10.5" customHeight="1">
      <c r="F295" s="587"/>
      <c r="G295" s="1079" t="s">
        <v>1927</v>
      </c>
      <c r="H295" s="1079" t="s">
        <v>1223</v>
      </c>
      <c r="I295" s="1083" t="s">
        <v>1928</v>
      </c>
      <c r="J295" s="1083" t="s">
        <v>2628</v>
      </c>
      <c r="K295" s="1081" t="s">
        <v>1179</v>
      </c>
      <c r="L295" s="1082" t="s">
        <v>425</v>
      </c>
      <c r="M295" s="2902" t="s">
        <v>2615</v>
      </c>
      <c r="N295" s="2902" t="s">
        <v>1332</v>
      </c>
      <c r="O295" s="2901" t="s">
        <v>4491</v>
      </c>
      <c r="P295" s="586" t="s">
        <v>614</v>
      </c>
      <c r="Q295" s="301"/>
      <c r="R295" s="177"/>
      <c r="S295" s="403"/>
      <c r="T295" s="525" t="s">
        <v>2548</v>
      </c>
      <c r="U295" s="525" t="s">
        <v>2607</v>
      </c>
      <c r="W295" s="446" t="s">
        <v>1332</v>
      </c>
      <c r="X295" s="446" t="s">
        <v>3409</v>
      </c>
      <c r="AA295" s="28"/>
      <c r="AB295" s="28"/>
      <c r="AC295" s="997"/>
      <c r="AD295" s="536"/>
    </row>
    <row r="296" spans="6:30" ht="10.5" customHeight="1">
      <c r="F296" s="587"/>
      <c r="G296" s="1079" t="s">
        <v>1929</v>
      </c>
      <c r="H296" s="1079" t="s">
        <v>1323</v>
      </c>
      <c r="I296" s="1080" t="s">
        <v>1930</v>
      </c>
      <c r="J296" s="1083" t="s">
        <v>2628</v>
      </c>
      <c r="K296" s="1081" t="s">
        <v>1180</v>
      </c>
      <c r="L296" s="1082" t="s">
        <v>425</v>
      </c>
      <c r="M296" s="2902" t="s">
        <v>2615</v>
      </c>
      <c r="N296" s="2902" t="s">
        <v>1217</v>
      </c>
      <c r="O296" s="2901" t="s">
        <v>4492</v>
      </c>
      <c r="P296" s="586" t="s">
        <v>552</v>
      </c>
      <c r="Q296" s="301"/>
      <c r="R296" s="177"/>
      <c r="S296" s="403"/>
      <c r="T296" s="525" t="s">
        <v>611</v>
      </c>
      <c r="U296" s="525" t="s">
        <v>2196</v>
      </c>
      <c r="W296" s="446" t="s">
        <v>180</v>
      </c>
      <c r="X296" s="446" t="s">
        <v>3409</v>
      </c>
      <c r="AA296" s="28"/>
      <c r="AB296" s="28"/>
      <c r="AC296" s="997"/>
      <c r="AD296" s="536"/>
    </row>
    <row r="297" spans="6:30" ht="10.5" customHeight="1">
      <c r="F297" s="587"/>
      <c r="G297" s="1079" t="s">
        <v>1931</v>
      </c>
      <c r="H297" s="1079" t="s">
        <v>1223</v>
      </c>
      <c r="I297" s="1083" t="s">
        <v>1932</v>
      </c>
      <c r="J297" s="1080" t="s">
        <v>2628</v>
      </c>
      <c r="K297" s="1081" t="s">
        <v>1181</v>
      </c>
      <c r="L297" s="1082" t="s">
        <v>425</v>
      </c>
      <c r="M297" s="2902" t="s">
        <v>2615</v>
      </c>
      <c r="N297" s="2902" t="s">
        <v>1795</v>
      </c>
      <c r="O297" s="2901" t="s">
        <v>4493</v>
      </c>
      <c r="P297" s="586" t="s">
        <v>1166</v>
      </c>
      <c r="Q297" s="301"/>
      <c r="R297" s="177"/>
      <c r="S297" s="403"/>
      <c r="T297" s="525" t="s">
        <v>2870</v>
      </c>
      <c r="U297" s="525" t="s">
        <v>1111</v>
      </c>
      <c r="W297" s="446" t="s">
        <v>1587</v>
      </c>
      <c r="X297" s="446" t="s">
        <v>3409</v>
      </c>
      <c r="AA297" s="28"/>
      <c r="AB297" s="28"/>
      <c r="AC297" s="997"/>
      <c r="AD297" s="536"/>
    </row>
    <row r="298" spans="6:30" ht="10.5" customHeight="1">
      <c r="F298" s="587"/>
      <c r="G298" s="1079" t="s">
        <v>1933</v>
      </c>
      <c r="H298" s="1079" t="s">
        <v>1323</v>
      </c>
      <c r="I298" s="1083" t="s">
        <v>1332</v>
      </c>
      <c r="J298" s="1083" t="s">
        <v>2629</v>
      </c>
      <c r="K298" s="1081" t="s">
        <v>2595</v>
      </c>
      <c r="L298" s="1082" t="s">
        <v>426</v>
      </c>
      <c r="M298" s="2900" t="s">
        <v>2615</v>
      </c>
      <c r="N298" s="2902" t="s">
        <v>1332</v>
      </c>
      <c r="O298" s="2901" t="s">
        <v>4494</v>
      </c>
      <c r="P298" s="586" t="s">
        <v>755</v>
      </c>
      <c r="Q298" s="301"/>
      <c r="R298" s="177"/>
      <c r="S298" s="403"/>
      <c r="T298" s="525" t="s">
        <v>613</v>
      </c>
      <c r="U298" s="525" t="s">
        <v>1648</v>
      </c>
      <c r="W298" s="446" t="s">
        <v>379</v>
      </c>
      <c r="X298" s="446" t="s">
        <v>3409</v>
      </c>
      <c r="AA298" s="28"/>
      <c r="AB298" s="28"/>
      <c r="AC298" s="997"/>
      <c r="AD298" s="536"/>
    </row>
    <row r="299" spans="6:30" ht="10.5" customHeight="1">
      <c r="F299" s="587"/>
      <c r="G299" s="1079" t="s">
        <v>1934</v>
      </c>
      <c r="H299" s="1079" t="s">
        <v>1323</v>
      </c>
      <c r="I299" s="1083" t="s">
        <v>1935</v>
      </c>
      <c r="J299" s="1083" t="s">
        <v>2628</v>
      </c>
      <c r="K299" s="1081" t="s">
        <v>1182</v>
      </c>
      <c r="L299" s="1082" t="s">
        <v>425</v>
      </c>
      <c r="M299" s="2902" t="s">
        <v>2615</v>
      </c>
      <c r="N299" s="2900" t="s">
        <v>167</v>
      </c>
      <c r="O299" s="2901" t="s">
        <v>4495</v>
      </c>
      <c r="P299" s="586" t="s">
        <v>37</v>
      </c>
      <c r="Q299" s="301"/>
      <c r="R299" s="177"/>
      <c r="S299" s="403"/>
      <c r="T299" s="525" t="s">
        <v>551</v>
      </c>
      <c r="U299" s="525" t="s">
        <v>665</v>
      </c>
      <c r="W299" s="446" t="s">
        <v>381</v>
      </c>
      <c r="X299" s="446" t="s">
        <v>3409</v>
      </c>
      <c r="AA299" s="28"/>
      <c r="AB299" s="28"/>
      <c r="AC299" s="997"/>
      <c r="AD299" s="536"/>
    </row>
    <row r="300" spans="6:30" ht="10.5" customHeight="1">
      <c r="F300" s="587"/>
      <c r="G300" s="1079" t="s">
        <v>2020</v>
      </c>
      <c r="H300" s="1079" t="s">
        <v>1323</v>
      </c>
      <c r="I300" s="1080" t="s">
        <v>2021</v>
      </c>
      <c r="J300" s="1083" t="s">
        <v>2628</v>
      </c>
      <c r="K300" s="1081" t="s">
        <v>1183</v>
      </c>
      <c r="L300" s="1082" t="s">
        <v>425</v>
      </c>
      <c r="M300" s="2902" t="s">
        <v>2615</v>
      </c>
      <c r="N300" s="2902" t="s">
        <v>1217</v>
      </c>
      <c r="O300" s="2901" t="s">
        <v>4496</v>
      </c>
      <c r="P300" s="586" t="s">
        <v>1979</v>
      </c>
      <c r="Q300" s="301"/>
      <c r="R300" s="177"/>
      <c r="S300" s="403"/>
      <c r="T300" s="525" t="s">
        <v>553</v>
      </c>
      <c r="U300" s="525" t="s">
        <v>161</v>
      </c>
      <c r="W300" s="446" t="s">
        <v>1619</v>
      </c>
      <c r="X300" s="446" t="s">
        <v>3409</v>
      </c>
      <c r="AA300" s="28"/>
      <c r="AB300" s="28"/>
      <c r="AC300" s="997"/>
      <c r="AD300" s="536"/>
    </row>
    <row r="301" spans="6:30" ht="10.5" customHeight="1">
      <c r="F301" s="587"/>
      <c r="G301" s="1079" t="s">
        <v>2022</v>
      </c>
      <c r="H301" s="1079" t="s">
        <v>1323</v>
      </c>
      <c r="I301" s="1083" t="s">
        <v>1533</v>
      </c>
      <c r="J301" s="1080" t="s">
        <v>2629</v>
      </c>
      <c r="K301" s="1081" t="s">
        <v>1693</v>
      </c>
      <c r="L301" s="1082" t="s">
        <v>426</v>
      </c>
      <c r="M301" s="2900" t="s">
        <v>2615</v>
      </c>
      <c r="N301" s="2902" t="s">
        <v>1533</v>
      </c>
      <c r="O301" s="2901" t="s">
        <v>4497</v>
      </c>
      <c r="P301" s="586" t="s">
        <v>1981</v>
      </c>
      <c r="Q301" s="301"/>
      <c r="R301" s="177"/>
      <c r="S301" s="403"/>
      <c r="T301" s="525" t="s">
        <v>754</v>
      </c>
      <c r="U301" s="525" t="s">
        <v>1117</v>
      </c>
      <c r="W301" s="446" t="s">
        <v>1098</v>
      </c>
      <c r="X301" s="446" t="s">
        <v>3409</v>
      </c>
      <c r="AA301" s="28"/>
      <c r="AB301" s="28"/>
      <c r="AC301" s="997"/>
      <c r="AD301" s="536"/>
    </row>
    <row r="302" spans="6:30" ht="10.5" customHeight="1">
      <c r="F302" s="587"/>
      <c r="G302" s="1079" t="s">
        <v>2023</v>
      </c>
      <c r="H302" s="1079" t="s">
        <v>1323</v>
      </c>
      <c r="I302" s="1083" t="s">
        <v>772</v>
      </c>
      <c r="J302" s="1083" t="s">
        <v>2629</v>
      </c>
      <c r="K302" s="1081" t="s">
        <v>2592</v>
      </c>
      <c r="L302" s="1082" t="s">
        <v>426</v>
      </c>
      <c r="M302" s="2900" t="s">
        <v>1207</v>
      </c>
      <c r="N302" s="2900" t="s">
        <v>1217</v>
      </c>
      <c r="O302" s="2901" t="s">
        <v>4498</v>
      </c>
      <c r="P302" s="586" t="s">
        <v>336</v>
      </c>
      <c r="Q302" s="301"/>
      <c r="R302" s="177"/>
      <c r="S302" s="403"/>
      <c r="T302" s="525" t="s">
        <v>756</v>
      </c>
      <c r="U302" s="525" t="s">
        <v>122</v>
      </c>
      <c r="W302" s="446" t="s">
        <v>3404</v>
      </c>
      <c r="X302" s="446" t="s">
        <v>3409</v>
      </c>
      <c r="AA302" s="28"/>
      <c r="AB302" s="28"/>
      <c r="AC302" s="997"/>
      <c r="AD302" s="536"/>
    </row>
    <row r="303" spans="6:30" ht="10.5" customHeight="1">
      <c r="F303" s="587"/>
      <c r="G303" s="1079" t="s">
        <v>2024</v>
      </c>
      <c r="H303" s="1079" t="s">
        <v>1223</v>
      </c>
      <c r="I303" s="1083" t="s">
        <v>104</v>
      </c>
      <c r="J303" s="1083" t="s">
        <v>2628</v>
      </c>
      <c r="K303" s="1081" t="s">
        <v>1184</v>
      </c>
      <c r="L303" s="1082" t="s">
        <v>425</v>
      </c>
      <c r="M303" s="2902" t="s">
        <v>2615</v>
      </c>
      <c r="N303" s="2900" t="s">
        <v>1709</v>
      </c>
      <c r="O303" s="2901" t="s">
        <v>4499</v>
      </c>
      <c r="P303" s="586" t="s">
        <v>338</v>
      </c>
      <c r="Q303" s="301"/>
      <c r="R303" s="177"/>
      <c r="S303" s="403"/>
      <c r="T303" s="525" t="s">
        <v>38</v>
      </c>
      <c r="U303" s="525" t="s">
        <v>177</v>
      </c>
      <c r="W303" s="446" t="s">
        <v>3405</v>
      </c>
      <c r="X303" s="446" t="s">
        <v>3409</v>
      </c>
      <c r="AA303" s="28"/>
      <c r="AB303" s="28"/>
      <c r="AC303" s="997"/>
      <c r="AD303" s="536"/>
    </row>
    <row r="304" spans="6:30" ht="10.5" customHeight="1">
      <c r="F304" s="587"/>
      <c r="G304" s="1079" t="s">
        <v>105</v>
      </c>
      <c r="H304" s="1079" t="s">
        <v>1323</v>
      </c>
      <c r="I304" s="1083" t="s">
        <v>106</v>
      </c>
      <c r="J304" s="1083" t="s">
        <v>2628</v>
      </c>
      <c r="K304" s="1081" t="s">
        <v>1185</v>
      </c>
      <c r="L304" s="1082" t="s">
        <v>425</v>
      </c>
      <c r="M304" s="2902" t="s">
        <v>2615</v>
      </c>
      <c r="N304" s="2902" t="s">
        <v>1342</v>
      </c>
      <c r="O304" s="2901" t="s">
        <v>4500</v>
      </c>
      <c r="P304" s="586" t="s">
        <v>340</v>
      </c>
      <c r="Q304" s="301"/>
      <c r="R304" s="177"/>
      <c r="S304" s="403"/>
      <c r="T304" s="525" t="s">
        <v>1980</v>
      </c>
      <c r="U304" s="525" t="s">
        <v>2259</v>
      </c>
      <c r="W304" s="446" t="s">
        <v>526</v>
      </c>
      <c r="X304" s="446" t="s">
        <v>3409</v>
      </c>
      <c r="AA304" s="28"/>
      <c r="AB304" s="28"/>
      <c r="AC304" s="997"/>
      <c r="AD304" s="536"/>
    </row>
    <row r="305" spans="6:30" ht="10.5" customHeight="1">
      <c r="F305" s="587"/>
      <c r="G305" s="1079" t="s">
        <v>107</v>
      </c>
      <c r="H305" s="1079" t="s">
        <v>1323</v>
      </c>
      <c r="I305" s="1083" t="s">
        <v>108</v>
      </c>
      <c r="J305" s="1083" t="s">
        <v>2628</v>
      </c>
      <c r="K305" s="1081" t="s">
        <v>1186</v>
      </c>
      <c r="L305" s="1082" t="s">
        <v>425</v>
      </c>
      <c r="M305" s="2902" t="s">
        <v>2615</v>
      </c>
      <c r="N305" s="2902" t="s">
        <v>1332</v>
      </c>
      <c r="O305" s="2901" t="s">
        <v>4501</v>
      </c>
      <c r="P305" s="586" t="s">
        <v>342</v>
      </c>
      <c r="Q305" s="301"/>
      <c r="R305" s="177"/>
      <c r="S305" s="403"/>
      <c r="T305" s="525" t="s">
        <v>1982</v>
      </c>
      <c r="U305" s="525" t="s">
        <v>2608</v>
      </c>
      <c r="W305" s="446" t="s">
        <v>528</v>
      </c>
      <c r="X305" s="446" t="s">
        <v>3409</v>
      </c>
      <c r="AA305" s="28"/>
      <c r="AB305" s="28"/>
      <c r="AC305" s="997"/>
      <c r="AD305" s="536"/>
    </row>
    <row r="306" spans="6:30" ht="10.5" customHeight="1">
      <c r="F306" s="587"/>
      <c r="G306" s="1079" t="s">
        <v>109</v>
      </c>
      <c r="H306" s="1079" t="s">
        <v>1223</v>
      </c>
      <c r="I306" s="1083" t="s">
        <v>110</v>
      </c>
      <c r="J306" s="1083" t="s">
        <v>2628</v>
      </c>
      <c r="K306" s="1081" t="s">
        <v>1187</v>
      </c>
      <c r="L306" s="1082" t="s">
        <v>425</v>
      </c>
      <c r="M306" s="2902" t="s">
        <v>2615</v>
      </c>
      <c r="N306" s="2902" t="s">
        <v>1338</v>
      </c>
      <c r="O306" s="2901" t="s">
        <v>4502</v>
      </c>
      <c r="P306" s="586" t="s">
        <v>344</v>
      </c>
      <c r="Q306" s="301"/>
      <c r="R306" s="177"/>
      <c r="S306" s="403"/>
      <c r="T306" s="525" t="s">
        <v>337</v>
      </c>
      <c r="U306" s="525" t="s">
        <v>1964</v>
      </c>
      <c r="W306" s="446" t="s">
        <v>534</v>
      </c>
      <c r="X306" s="446" t="s">
        <v>3409</v>
      </c>
      <c r="AA306" s="28"/>
      <c r="AB306" s="28"/>
      <c r="AC306" s="997"/>
      <c r="AD306" s="536"/>
    </row>
    <row r="307" spans="6:30" ht="10.5" customHeight="1">
      <c r="F307" s="587"/>
      <c r="G307" s="1079" t="s">
        <v>111</v>
      </c>
      <c r="H307" s="1079" t="s">
        <v>1223</v>
      </c>
      <c r="I307" s="1083" t="s">
        <v>112</v>
      </c>
      <c r="J307" s="1083" t="s">
        <v>2628</v>
      </c>
      <c r="K307" s="1081" t="s">
        <v>1188</v>
      </c>
      <c r="L307" s="1082" t="s">
        <v>425</v>
      </c>
      <c r="M307" s="2902" t="s">
        <v>2615</v>
      </c>
      <c r="N307" s="2902" t="s">
        <v>162</v>
      </c>
      <c r="O307" s="2901" t="s">
        <v>4503</v>
      </c>
      <c r="P307" s="586" t="s">
        <v>346</v>
      </c>
      <c r="Q307" s="301"/>
      <c r="R307" s="177"/>
      <c r="S307" s="403"/>
      <c r="T307" s="525" t="s">
        <v>339</v>
      </c>
      <c r="U307" s="525" t="s">
        <v>883</v>
      </c>
      <c r="W307" s="446" t="s">
        <v>547</v>
      </c>
      <c r="X307" s="446" t="s">
        <v>3409</v>
      </c>
      <c r="AA307" s="28"/>
      <c r="AB307" s="28"/>
      <c r="AC307" s="997"/>
      <c r="AD307" s="536"/>
    </row>
    <row r="308" spans="6:30" ht="10.5" customHeight="1">
      <c r="F308" s="587"/>
      <c r="G308" s="1079" t="s">
        <v>113</v>
      </c>
      <c r="H308" s="1079" t="s">
        <v>1223</v>
      </c>
      <c r="I308" s="1083" t="s">
        <v>114</v>
      </c>
      <c r="J308" s="1083" t="s">
        <v>2628</v>
      </c>
      <c r="K308" s="1081" t="s">
        <v>2372</v>
      </c>
      <c r="L308" s="1082" t="s">
        <v>425</v>
      </c>
      <c r="M308" s="2902" t="s">
        <v>2615</v>
      </c>
      <c r="N308" s="2902" t="s">
        <v>1332</v>
      </c>
      <c r="O308" s="2901" t="s">
        <v>4504</v>
      </c>
      <c r="P308" s="586" t="s">
        <v>1954</v>
      </c>
      <c r="Q308" s="301"/>
      <c r="R308" s="177"/>
      <c r="S308" s="403"/>
      <c r="T308" s="525" t="s">
        <v>341</v>
      </c>
      <c r="U308" s="525" t="s">
        <v>180</v>
      </c>
      <c r="W308" s="446" t="s">
        <v>1648</v>
      </c>
      <c r="X308" s="446" t="s">
        <v>3409</v>
      </c>
      <c r="AA308" s="28"/>
      <c r="AB308" s="28"/>
      <c r="AC308" s="997"/>
      <c r="AD308" s="536"/>
    </row>
    <row r="309" spans="6:30" ht="10.5" customHeight="1">
      <c r="F309" s="587"/>
      <c r="G309" s="1079" t="s">
        <v>115</v>
      </c>
      <c r="H309" s="1079" t="s">
        <v>1323</v>
      </c>
      <c r="I309" s="1083" t="s">
        <v>116</v>
      </c>
      <c r="J309" s="1083" t="s">
        <v>2628</v>
      </c>
      <c r="K309" s="1081" t="s">
        <v>2373</v>
      </c>
      <c r="L309" s="1082" t="s">
        <v>425</v>
      </c>
      <c r="M309" s="2902" t="s">
        <v>2615</v>
      </c>
      <c r="N309" s="2902" t="s">
        <v>167</v>
      </c>
      <c r="O309" s="2901" t="s">
        <v>4505</v>
      </c>
      <c r="P309" s="586" t="s">
        <v>1956</v>
      </c>
      <c r="Q309" s="301"/>
      <c r="R309" s="177"/>
      <c r="S309" s="403"/>
      <c r="T309" s="525" t="s">
        <v>343</v>
      </c>
      <c r="U309" s="525" t="s">
        <v>2414</v>
      </c>
      <c r="W309" s="446" t="s">
        <v>2110</v>
      </c>
      <c r="X309" s="446" t="s">
        <v>3409</v>
      </c>
      <c r="AA309" s="28"/>
      <c r="AB309" s="28"/>
      <c r="AC309" s="997"/>
      <c r="AD309" s="536"/>
    </row>
    <row r="310" spans="6:30" ht="10.5" customHeight="1">
      <c r="F310" s="587"/>
      <c r="G310" s="1079" t="s">
        <v>1964</v>
      </c>
      <c r="H310" s="1079" t="s">
        <v>1323</v>
      </c>
      <c r="I310" s="1080" t="s">
        <v>337</v>
      </c>
      <c r="J310" s="1083" t="s">
        <v>2629</v>
      </c>
      <c r="K310" s="1081" t="s">
        <v>2374</v>
      </c>
      <c r="L310" s="1082" t="s">
        <v>426</v>
      </c>
      <c r="M310" s="2902" t="s">
        <v>1207</v>
      </c>
      <c r="N310" s="2902" t="s">
        <v>1533</v>
      </c>
      <c r="O310" s="2901" t="s">
        <v>4506</v>
      </c>
      <c r="P310" s="586" t="s">
        <v>2169</v>
      </c>
      <c r="Q310" s="301"/>
      <c r="R310" s="177"/>
      <c r="S310" s="403"/>
      <c r="T310" s="292" t="s">
        <v>345</v>
      </c>
      <c r="U310" s="292" t="s">
        <v>1891</v>
      </c>
      <c r="W310" s="446" t="s">
        <v>3406</v>
      </c>
      <c r="X310" s="446" t="s">
        <v>3409</v>
      </c>
      <c r="AA310" s="28"/>
      <c r="AB310" s="28"/>
      <c r="AC310" s="997"/>
      <c r="AD310" s="536"/>
    </row>
    <row r="311" spans="6:30" ht="10.5" customHeight="1">
      <c r="F311" s="587"/>
      <c r="G311" s="1079" t="s">
        <v>1965</v>
      </c>
      <c r="H311" s="1079" t="s">
        <v>1223</v>
      </c>
      <c r="I311" s="1083" t="s">
        <v>2411</v>
      </c>
      <c r="J311" s="1080" t="s">
        <v>2628</v>
      </c>
      <c r="K311" s="1081" t="s">
        <v>2375</v>
      </c>
      <c r="L311" s="1082" t="s">
        <v>425</v>
      </c>
      <c r="M311" s="2902" t="s">
        <v>2615</v>
      </c>
      <c r="N311" s="2902" t="s">
        <v>1795</v>
      </c>
      <c r="O311" s="2901" t="s">
        <v>4507</v>
      </c>
      <c r="P311" s="586" t="s">
        <v>154</v>
      </c>
      <c r="Q311" s="301"/>
      <c r="R311" s="177"/>
      <c r="S311" s="403"/>
      <c r="T311" s="525" t="s">
        <v>347</v>
      </c>
      <c r="U311" s="525" t="s">
        <v>176</v>
      </c>
      <c r="W311" s="446" t="s">
        <v>2263</v>
      </c>
      <c r="X311" s="446" t="s">
        <v>3409</v>
      </c>
      <c r="AA311" s="28"/>
      <c r="AB311" s="28"/>
      <c r="AC311" s="536"/>
      <c r="AD311" s="536"/>
    </row>
    <row r="312" spans="6:30" ht="10.5" customHeight="1">
      <c r="F312" s="587"/>
      <c r="G312" s="1079" t="s">
        <v>2412</v>
      </c>
      <c r="H312" s="1079" t="s">
        <v>1323</v>
      </c>
      <c r="I312" s="1083" t="s">
        <v>2413</v>
      </c>
      <c r="J312" s="1083" t="s">
        <v>2628</v>
      </c>
      <c r="K312" s="1081" t="s">
        <v>423</v>
      </c>
      <c r="L312" s="1082" t="s">
        <v>425</v>
      </c>
      <c r="M312" s="2902" t="s">
        <v>2615</v>
      </c>
      <c r="N312" s="2902" t="s">
        <v>1342</v>
      </c>
      <c r="O312" s="2901" t="s">
        <v>4508</v>
      </c>
      <c r="P312" s="586" t="s">
        <v>155</v>
      </c>
      <c r="Q312" s="301"/>
      <c r="R312" s="177"/>
      <c r="S312" s="403"/>
      <c r="T312" s="525" t="s">
        <v>1955</v>
      </c>
      <c r="U312" s="525" t="s">
        <v>107</v>
      </c>
      <c r="W312" s="446" t="s">
        <v>400</v>
      </c>
      <c r="X312" s="446" t="s">
        <v>3409</v>
      </c>
      <c r="AA312" s="28"/>
      <c r="AB312" s="28"/>
      <c r="AC312" s="997"/>
      <c r="AD312" s="536"/>
    </row>
    <row r="313" spans="6:30" ht="10.5" customHeight="1">
      <c r="F313" s="587"/>
      <c r="G313" s="1079" t="s">
        <v>2414</v>
      </c>
      <c r="H313" s="1079" t="s">
        <v>1323</v>
      </c>
      <c r="I313" s="1083" t="s">
        <v>2415</v>
      </c>
      <c r="J313" s="1083" t="s">
        <v>2628</v>
      </c>
      <c r="K313" s="1081" t="s">
        <v>424</v>
      </c>
      <c r="L313" s="1082" t="s">
        <v>425</v>
      </c>
      <c r="M313" s="2902" t="s">
        <v>2615</v>
      </c>
      <c r="N313" s="2902" t="s">
        <v>1332</v>
      </c>
      <c r="O313" s="2901" t="s">
        <v>4509</v>
      </c>
      <c r="P313" s="586" t="s">
        <v>1592</v>
      </c>
      <c r="Q313" s="301"/>
      <c r="R313" s="177"/>
      <c r="S313" s="403"/>
      <c r="T313" s="525" t="s">
        <v>197</v>
      </c>
      <c r="U313" s="525" t="s">
        <v>1678</v>
      </c>
      <c r="W313" s="446" t="s">
        <v>1853</v>
      </c>
      <c r="X313" s="446" t="s">
        <v>3409</v>
      </c>
      <c r="AA313" s="28"/>
      <c r="AB313" s="28"/>
      <c r="AC313" s="997"/>
      <c r="AD313" s="536"/>
    </row>
    <row r="314" spans="6:30" ht="10.5" customHeight="1">
      <c r="F314" s="347"/>
      <c r="G314" s="1079" t="s">
        <v>2416</v>
      </c>
      <c r="H314" s="1079" t="s">
        <v>1223</v>
      </c>
      <c r="I314" s="1083" t="s">
        <v>1795</v>
      </c>
      <c r="J314" s="1083" t="s">
        <v>2629</v>
      </c>
      <c r="K314" s="1081" t="s">
        <v>1171</v>
      </c>
      <c r="L314" s="1082" t="s">
        <v>426</v>
      </c>
      <c r="M314" s="2900" t="s">
        <v>2615</v>
      </c>
      <c r="N314" s="2902" t="s">
        <v>1795</v>
      </c>
      <c r="O314" s="2901" t="s">
        <v>4510</v>
      </c>
      <c r="P314" s="586" t="s">
        <v>798</v>
      </c>
      <c r="Q314" s="301"/>
      <c r="R314" s="177"/>
      <c r="S314" s="403"/>
      <c r="T314" s="525" t="s">
        <v>2170</v>
      </c>
      <c r="U314" s="525" t="s">
        <v>197</v>
      </c>
      <c r="W314" s="446" t="s">
        <v>2287</v>
      </c>
      <c r="X314" s="446" t="s">
        <v>3409</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2192</v>
      </c>
      <c r="W315" s="446" t="s">
        <v>567</v>
      </c>
      <c r="X315" s="446" t="s">
        <v>3409</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1890</v>
      </c>
      <c r="W316" s="446" t="s">
        <v>1463</v>
      </c>
      <c r="X316" s="446" t="s">
        <v>3409</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634</v>
      </c>
      <c r="W317" s="446" t="s">
        <v>1594</v>
      </c>
      <c r="X317" s="446" t="s">
        <v>3409</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2024</v>
      </c>
      <c r="W318" s="446" t="s">
        <v>2135</v>
      </c>
      <c r="X318" s="446" t="s">
        <v>3409</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799</v>
      </c>
      <c r="U319" s="525" t="s">
        <v>107</v>
      </c>
      <c r="W319" s="446" t="s">
        <v>2137</v>
      </c>
      <c r="X319" s="446" t="s">
        <v>3409</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801</v>
      </c>
      <c r="U320" s="525" t="s">
        <v>123</v>
      </c>
      <c r="W320" s="446" t="s">
        <v>1453</v>
      </c>
      <c r="X320" s="446" t="s">
        <v>3409</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803</v>
      </c>
      <c r="U321" s="525" t="s">
        <v>328</v>
      </c>
      <c r="W321" s="446" t="s">
        <v>1568</v>
      </c>
      <c r="X321" s="446" t="s">
        <v>3409</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2871</v>
      </c>
      <c r="U322" s="525" t="s">
        <v>887</v>
      </c>
      <c r="W322" s="446" t="s">
        <v>1194</v>
      </c>
      <c r="X322" s="446" t="s">
        <v>3409</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1465</v>
      </c>
      <c r="W323" s="446" t="s">
        <v>1763</v>
      </c>
      <c r="X323" s="446" t="s">
        <v>3409</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1115</v>
      </c>
      <c r="W324" s="446" t="s">
        <v>1828</v>
      </c>
      <c r="X324" s="446" t="s">
        <v>3409</v>
      </c>
      <c r="AA324" s="28"/>
      <c r="AB324" s="28"/>
      <c r="AC324" s="536"/>
      <c r="AD324" s="536"/>
    </row>
    <row r="325" spans="6:30" ht="10.5" customHeight="1">
      <c r="F325" s="347"/>
      <c r="G325" s="324"/>
      <c r="H325" s="324"/>
      <c r="I325" s="324"/>
      <c r="J325" s="324"/>
      <c r="K325" s="324"/>
      <c r="L325" s="324"/>
      <c r="M325" s="324"/>
      <c r="N325" s="324"/>
      <c r="O325" s="324"/>
      <c r="P325" s="586" t="s">
        <v>1936</v>
      </c>
      <c r="Q325" s="301"/>
      <c r="R325" s="177"/>
      <c r="S325" s="403"/>
      <c r="T325" s="525" t="s">
        <v>2585</v>
      </c>
      <c r="U325" s="525" t="s">
        <v>672</v>
      </c>
      <c r="W325" s="446" t="s">
        <v>1113</v>
      </c>
      <c r="X325" s="446" t="s">
        <v>3409</v>
      </c>
      <c r="AA325" s="28"/>
      <c r="AB325" s="28"/>
      <c r="AC325" s="997"/>
      <c r="AD325" s="536"/>
    </row>
    <row r="326" spans="6:30" ht="10.5" customHeight="1">
      <c r="F326" s="347"/>
      <c r="G326" s="324"/>
      <c r="H326" s="324"/>
      <c r="I326" s="324"/>
      <c r="J326" s="324"/>
      <c r="K326" s="324"/>
      <c r="L326" s="324"/>
      <c r="M326" s="324"/>
      <c r="N326" s="324"/>
      <c r="O326" s="324"/>
      <c r="P326" s="586" t="s">
        <v>1937</v>
      </c>
      <c r="Q326" s="301"/>
      <c r="R326" s="177"/>
      <c r="S326" s="403"/>
      <c r="T326" s="525" t="s">
        <v>382</v>
      </c>
      <c r="U326" s="525" t="s">
        <v>2504</v>
      </c>
      <c r="W326" s="446" t="s">
        <v>3407</v>
      </c>
      <c r="X326" s="446" t="s">
        <v>3409</v>
      </c>
      <c r="AA326" s="28"/>
      <c r="AB326" s="28"/>
      <c r="AC326" s="997"/>
      <c r="AD326" s="536"/>
    </row>
    <row r="327" spans="6:30" ht="10.5" customHeight="1">
      <c r="F327" s="347"/>
      <c r="G327" s="324"/>
      <c r="H327" s="324"/>
      <c r="I327" s="324"/>
      <c r="J327" s="324"/>
      <c r="K327" s="324"/>
      <c r="L327" s="324"/>
      <c r="M327" s="324"/>
      <c r="N327" s="324"/>
      <c r="O327" s="324"/>
      <c r="P327" s="586" t="s">
        <v>1939</v>
      </c>
      <c r="Q327" s="301"/>
      <c r="R327" s="177"/>
      <c r="S327" s="403"/>
      <c r="T327" s="588" t="s">
        <v>384</v>
      </c>
      <c r="U327" s="525" t="s">
        <v>2185</v>
      </c>
      <c r="W327" s="446" t="s">
        <v>2159</v>
      </c>
      <c r="X327" s="446" t="s">
        <v>3409</v>
      </c>
      <c r="AA327" s="28"/>
      <c r="AB327" s="28"/>
      <c r="AC327" s="997"/>
      <c r="AD327" s="536"/>
    </row>
    <row r="328" spans="6:30" ht="10.5" customHeight="1">
      <c r="F328" s="347"/>
      <c r="G328" s="324"/>
      <c r="H328" s="324"/>
      <c r="I328" s="324"/>
      <c r="J328" s="324"/>
      <c r="K328" s="324"/>
      <c r="L328" s="324"/>
      <c r="M328" s="324"/>
      <c r="N328" s="324"/>
      <c r="O328" s="324"/>
      <c r="P328" s="586" t="s">
        <v>1940</v>
      </c>
      <c r="Q328" s="301"/>
      <c r="R328" s="177"/>
      <c r="S328" s="403"/>
      <c r="T328" s="525" t="s">
        <v>49</v>
      </c>
      <c r="U328" s="525" t="s">
        <v>962</v>
      </c>
      <c r="W328" s="446" t="s">
        <v>1531</v>
      </c>
      <c r="X328" s="446" t="s">
        <v>3409</v>
      </c>
      <c r="AA328" s="28"/>
      <c r="AB328" s="28"/>
      <c r="AC328" s="998"/>
      <c r="AD328" s="536"/>
    </row>
    <row r="329" spans="6:30" ht="10.5" customHeight="1">
      <c r="F329" s="347"/>
      <c r="G329" s="324"/>
      <c r="H329" s="324"/>
      <c r="I329" s="324"/>
      <c r="J329" s="324"/>
      <c r="K329" s="324"/>
      <c r="L329" s="324"/>
      <c r="M329" s="324"/>
      <c r="N329" s="324"/>
      <c r="O329" s="324"/>
      <c r="P329" s="586" t="s">
        <v>1941</v>
      </c>
      <c r="Q329" s="301"/>
      <c r="R329" s="177"/>
      <c r="S329" s="403"/>
      <c r="T329" s="525" t="s">
        <v>51</v>
      </c>
      <c r="U329" s="525" t="s">
        <v>634</v>
      </c>
      <c r="W329" s="446" t="s">
        <v>64</v>
      </c>
      <c r="X329" s="446" t="s">
        <v>3409</v>
      </c>
      <c r="AA329" s="28"/>
      <c r="AB329" s="28"/>
      <c r="AC329" s="997"/>
      <c r="AD329" s="536"/>
    </row>
    <row r="330" spans="6:30" ht="10.5" customHeight="1">
      <c r="F330" s="347"/>
      <c r="G330" s="324"/>
      <c r="H330" s="324"/>
      <c r="I330" s="324"/>
      <c r="J330" s="324"/>
      <c r="K330" s="324"/>
      <c r="L330" s="324"/>
      <c r="M330" s="324"/>
      <c r="N330" s="324"/>
      <c r="O330" s="324"/>
      <c r="P330" s="586" t="s">
        <v>1943</v>
      </c>
      <c r="Q330" s="301"/>
      <c r="R330" s="177"/>
      <c r="S330" s="403"/>
      <c r="T330" s="525" t="s">
        <v>882</v>
      </c>
      <c r="U330" s="525" t="s">
        <v>2502</v>
      </c>
      <c r="W330" s="446" t="s">
        <v>68</v>
      </c>
      <c r="X330" s="446" t="s">
        <v>3409</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1938</v>
      </c>
      <c r="U331" s="292" t="s">
        <v>882</v>
      </c>
      <c r="W331" s="446" t="s">
        <v>70</v>
      </c>
      <c r="X331" s="446" t="s">
        <v>3409</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2586</v>
      </c>
      <c r="U332" s="292" t="s">
        <v>634</v>
      </c>
      <c r="W332" s="446" t="s">
        <v>785</v>
      </c>
      <c r="X332" s="446" t="s">
        <v>3409</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2872</v>
      </c>
      <c r="U333" s="525" t="s">
        <v>2499</v>
      </c>
      <c r="W333" s="446" t="s">
        <v>950</v>
      </c>
      <c r="X333" s="446" t="s">
        <v>3409</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1942</v>
      </c>
      <c r="U334" s="525" t="s">
        <v>1465</v>
      </c>
      <c r="W334" s="446" t="s">
        <v>1053</v>
      </c>
      <c r="X334" s="446" t="s">
        <v>3409</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1944</v>
      </c>
      <c r="U335" s="525" t="s">
        <v>1465</v>
      </c>
      <c r="W335" s="446" t="s">
        <v>2283</v>
      </c>
      <c r="X335" s="446" t="s">
        <v>3409</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724</v>
      </c>
      <c r="U336" s="525" t="s">
        <v>122</v>
      </c>
      <c r="W336" s="446" t="s">
        <v>2537</v>
      </c>
      <c r="X336" s="446" t="s">
        <v>3409</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2179</v>
      </c>
      <c r="X337" s="446" t="s">
        <v>3409</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2873</v>
      </c>
      <c r="U338" s="525" t="s">
        <v>160</v>
      </c>
      <c r="W338" s="446" t="s">
        <v>1626</v>
      </c>
      <c r="X338" s="446" t="s">
        <v>3409</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2874</v>
      </c>
      <c r="U339" s="525" t="s">
        <v>318</v>
      </c>
      <c r="W339" s="446" t="s">
        <v>2431</v>
      </c>
      <c r="X339" s="446" t="s">
        <v>3409</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1150</v>
      </c>
      <c r="U340" s="525" t="s">
        <v>1465</v>
      </c>
      <c r="W340" s="446" t="s">
        <v>823</v>
      </c>
      <c r="X340" s="446" t="s">
        <v>3409</v>
      </c>
      <c r="AA340" s="28"/>
      <c r="AB340" s="28"/>
      <c r="AC340" s="997"/>
      <c r="AD340" s="536"/>
    </row>
    <row r="341" spans="6:30" ht="10.5" customHeight="1">
      <c r="F341" s="347"/>
      <c r="G341" s="324"/>
      <c r="H341" s="324"/>
      <c r="I341" s="324"/>
      <c r="J341" s="324"/>
      <c r="K341" s="324"/>
      <c r="L341" s="324"/>
      <c r="M341" s="324"/>
      <c r="N341" s="324"/>
      <c r="O341" s="324"/>
      <c r="P341" s="586" t="s">
        <v>1905</v>
      </c>
      <c r="Q341" s="301"/>
      <c r="R341" s="177"/>
      <c r="S341" s="403"/>
      <c r="T341" s="525" t="s">
        <v>1152</v>
      </c>
      <c r="U341" s="525" t="s">
        <v>668</v>
      </c>
      <c r="W341" s="446" t="s">
        <v>169</v>
      </c>
      <c r="X341" s="446" t="s">
        <v>3409</v>
      </c>
      <c r="AA341" s="28"/>
      <c r="AB341" s="28"/>
      <c r="AC341" s="997"/>
      <c r="AD341" s="536"/>
    </row>
    <row r="342" spans="6:30" ht="10.5" customHeight="1">
      <c r="F342" s="347"/>
      <c r="G342" s="324"/>
      <c r="H342" s="324"/>
      <c r="I342" s="324"/>
      <c r="J342" s="324"/>
      <c r="K342" s="324"/>
      <c r="L342" s="324"/>
      <c r="M342" s="324"/>
      <c r="N342" s="324"/>
      <c r="O342" s="324"/>
      <c r="P342" s="586" t="s">
        <v>1907</v>
      </c>
      <c r="Q342" s="301"/>
      <c r="R342" s="177"/>
      <c r="S342" s="403"/>
      <c r="T342" s="525" t="s">
        <v>2587</v>
      </c>
      <c r="U342" s="525" t="s">
        <v>2187</v>
      </c>
      <c r="W342" s="446" t="s">
        <v>1338</v>
      </c>
      <c r="X342" s="446" t="s">
        <v>3409</v>
      </c>
      <c r="AA342" s="28"/>
      <c r="AB342" s="28"/>
      <c r="AC342" s="997"/>
      <c r="AD342" s="536"/>
    </row>
    <row r="343" spans="6:30" ht="10.5" customHeight="1">
      <c r="F343" s="347"/>
      <c r="G343" s="324"/>
      <c r="H343" s="324"/>
      <c r="I343" s="324"/>
      <c r="J343" s="324"/>
      <c r="K343" s="324"/>
      <c r="L343" s="324"/>
      <c r="M343" s="324"/>
      <c r="N343" s="324"/>
      <c r="O343" s="324"/>
      <c r="P343" s="586" t="s">
        <v>1908</v>
      </c>
      <c r="Q343" s="301"/>
      <c r="R343" s="177"/>
      <c r="S343" s="403"/>
      <c r="T343" s="525" t="s">
        <v>2588</v>
      </c>
      <c r="U343" s="525" t="s">
        <v>2547</v>
      </c>
      <c r="W343" s="446" t="s">
        <v>1082</v>
      </c>
      <c r="X343" s="446" t="s">
        <v>3409</v>
      </c>
      <c r="AA343" s="28"/>
      <c r="AB343" s="28"/>
      <c r="AC343" s="997"/>
      <c r="AD343" s="536"/>
    </row>
    <row r="344" spans="6:30" ht="10.5" customHeight="1">
      <c r="F344" s="347"/>
      <c r="G344" s="324"/>
      <c r="H344" s="324"/>
      <c r="I344" s="324"/>
      <c r="J344" s="324"/>
      <c r="K344" s="324"/>
      <c r="L344" s="324"/>
      <c r="M344" s="324"/>
      <c r="N344" s="324"/>
      <c r="O344" s="324"/>
      <c r="P344" s="586" t="s">
        <v>1910</v>
      </c>
      <c r="Q344" s="301"/>
      <c r="R344" s="177"/>
      <c r="S344" s="403"/>
      <c r="T344" s="525" t="s">
        <v>1154</v>
      </c>
      <c r="U344" s="525" t="s">
        <v>1218</v>
      </c>
      <c r="W344" s="446" t="s">
        <v>2007</v>
      </c>
      <c r="X344" s="446" t="s">
        <v>3409</v>
      </c>
      <c r="AA344" s="28"/>
      <c r="AB344" s="28"/>
      <c r="AC344" s="997"/>
      <c r="AD344" s="536"/>
    </row>
    <row r="345" spans="6:30" ht="10.5" customHeight="1">
      <c r="F345" s="347"/>
      <c r="G345" s="324"/>
      <c r="H345" s="324"/>
      <c r="I345" s="324"/>
      <c r="J345" s="324"/>
      <c r="K345" s="324"/>
      <c r="L345" s="324"/>
      <c r="M345" s="324"/>
      <c r="N345" s="324"/>
      <c r="O345" s="324"/>
      <c r="P345" s="586" t="s">
        <v>1912</v>
      </c>
      <c r="Q345" s="301"/>
      <c r="R345" s="177"/>
      <c r="S345" s="403"/>
      <c r="T345" s="525" t="s">
        <v>2530</v>
      </c>
      <c r="U345" s="525" t="s">
        <v>201</v>
      </c>
      <c r="W345" s="446" t="s">
        <v>1902</v>
      </c>
      <c r="X345" s="446" t="s">
        <v>3409</v>
      </c>
      <c r="AA345" s="28"/>
      <c r="AB345" s="28"/>
      <c r="AC345" s="997"/>
      <c r="AD345" s="536"/>
    </row>
    <row r="346" spans="6:30" ht="10.5" customHeight="1">
      <c r="F346" s="347"/>
      <c r="G346" s="324"/>
      <c r="H346" s="324"/>
      <c r="I346" s="324"/>
      <c r="J346" s="324"/>
      <c r="K346" s="324"/>
      <c r="L346" s="324"/>
      <c r="M346" s="324"/>
      <c r="N346" s="324"/>
      <c r="O346" s="324"/>
      <c r="P346" s="586" t="s">
        <v>1946</v>
      </c>
      <c r="Q346" s="301"/>
      <c r="R346" s="177"/>
      <c r="S346" s="403"/>
      <c r="T346" s="525" t="s">
        <v>459</v>
      </c>
      <c r="U346" s="525" t="s">
        <v>1111</v>
      </c>
      <c r="W346" s="446" t="s">
        <v>2552</v>
      </c>
      <c r="X346" s="446" t="s">
        <v>3409</v>
      </c>
      <c r="AA346" s="28"/>
      <c r="AB346" s="28"/>
      <c r="AC346" s="997"/>
      <c r="AD346" s="536"/>
    </row>
    <row r="347" spans="6:30" ht="10.5" customHeight="1">
      <c r="F347" s="347"/>
      <c r="G347" s="324"/>
      <c r="H347" s="324"/>
      <c r="I347" s="324"/>
      <c r="J347" s="324"/>
      <c r="K347" s="324"/>
      <c r="L347" s="324"/>
      <c r="M347" s="324"/>
      <c r="N347" s="324"/>
      <c r="O347" s="324"/>
      <c r="P347" s="586" t="s">
        <v>1948</v>
      </c>
      <c r="Q347" s="301"/>
      <c r="R347" s="177"/>
      <c r="S347" s="403"/>
      <c r="T347" s="292" t="s">
        <v>190</v>
      </c>
      <c r="U347" s="292" t="s">
        <v>670</v>
      </c>
      <c r="W347" s="446" t="s">
        <v>1165</v>
      </c>
      <c r="X347" s="446" t="s">
        <v>3409</v>
      </c>
      <c r="AA347" s="28"/>
      <c r="AB347" s="28"/>
      <c r="AC347" s="997"/>
      <c r="AD347" s="536"/>
    </row>
    <row r="348" spans="6:30" ht="10.5" customHeight="1">
      <c r="F348" s="347"/>
      <c r="G348" s="324"/>
      <c r="H348" s="324"/>
      <c r="I348" s="324"/>
      <c r="J348" s="324"/>
      <c r="K348" s="324"/>
      <c r="L348" s="324"/>
      <c r="M348" s="324"/>
      <c r="N348" s="324"/>
      <c r="O348" s="324"/>
      <c r="P348" s="586" t="s">
        <v>1949</v>
      </c>
      <c r="Q348" s="301"/>
      <c r="R348" s="177"/>
      <c r="S348" s="403"/>
      <c r="T348" s="292" t="s">
        <v>303</v>
      </c>
      <c r="U348" s="292" t="s">
        <v>1344</v>
      </c>
      <c r="W348" s="446" t="s">
        <v>2533</v>
      </c>
      <c r="X348" s="446" t="s">
        <v>3409</v>
      </c>
      <c r="AA348" s="28"/>
      <c r="AB348" s="28"/>
      <c r="AC348" s="536"/>
      <c r="AD348" s="536"/>
    </row>
    <row r="349" spans="6:30" ht="10.5" customHeight="1">
      <c r="F349" s="347"/>
      <c r="G349" s="324"/>
      <c r="H349" s="324"/>
      <c r="I349" s="324"/>
      <c r="J349" s="324"/>
      <c r="K349" s="324"/>
      <c r="L349" s="324"/>
      <c r="M349" s="324"/>
      <c r="N349" s="324"/>
      <c r="O349" s="324"/>
      <c r="P349" s="586" t="s">
        <v>1951</v>
      </c>
      <c r="Q349" s="301"/>
      <c r="R349" s="177"/>
      <c r="S349" s="403"/>
      <c r="T349" s="292" t="s">
        <v>1838</v>
      </c>
      <c r="U349" s="292" t="s">
        <v>887</v>
      </c>
      <c r="W349" s="446" t="s">
        <v>824</v>
      </c>
      <c r="X349" s="446" t="s">
        <v>3409</v>
      </c>
      <c r="AA349" s="28"/>
      <c r="AB349" s="28"/>
      <c r="AC349" s="536"/>
      <c r="AD349" s="536"/>
    </row>
    <row r="350" spans="6:30" ht="10.5" customHeight="1">
      <c r="F350" s="347"/>
      <c r="G350" s="324"/>
      <c r="H350" s="324"/>
      <c r="I350" s="324"/>
      <c r="J350" s="324"/>
      <c r="K350" s="324"/>
      <c r="L350" s="324"/>
      <c r="M350" s="324"/>
      <c r="N350" s="324"/>
      <c r="O350" s="324"/>
      <c r="P350" s="586" t="s">
        <v>1953</v>
      </c>
      <c r="Q350" s="301"/>
      <c r="R350" s="177"/>
      <c r="S350" s="403"/>
      <c r="T350" s="525" t="s">
        <v>1840</v>
      </c>
      <c r="U350" s="525" t="s">
        <v>1121</v>
      </c>
      <c r="W350" s="446" t="s">
        <v>2117</v>
      </c>
      <c r="X350" s="446" t="s">
        <v>3409</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1906</v>
      </c>
      <c r="U351" s="525" t="s">
        <v>2504</v>
      </c>
      <c r="W351" s="446" t="s">
        <v>948</v>
      </c>
      <c r="X351" s="446" t="s">
        <v>3409</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1909</v>
      </c>
      <c r="U352" s="292" t="s">
        <v>668</v>
      </c>
      <c r="W352" s="446" t="s">
        <v>2517</v>
      </c>
      <c r="X352" s="446" t="s">
        <v>3409</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1911</v>
      </c>
      <c r="U353" s="525" t="s">
        <v>1326</v>
      </c>
      <c r="W353" s="446" t="s">
        <v>1919</v>
      </c>
      <c r="X353" s="446" t="s">
        <v>3409</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2875</v>
      </c>
      <c r="U354" s="525" t="s">
        <v>201</v>
      </c>
      <c r="W354" s="446" t="s">
        <v>1425</v>
      </c>
      <c r="X354" s="446" t="s">
        <v>3409</v>
      </c>
      <c r="AA354" s="28"/>
      <c r="AB354" s="28"/>
      <c r="AC354" s="997"/>
      <c r="AD354" s="536"/>
    </row>
    <row r="355" spans="6:30" ht="10.5" customHeight="1">
      <c r="F355" s="347"/>
      <c r="G355" s="324"/>
      <c r="H355" s="324"/>
      <c r="I355" s="324"/>
      <c r="J355" s="324"/>
      <c r="K355" s="324"/>
      <c r="L355" s="324"/>
      <c r="M355" s="324"/>
      <c r="N355" s="324"/>
      <c r="O355" s="324"/>
      <c r="P355" s="586" t="s">
        <v>2293</v>
      </c>
      <c r="Q355" s="301"/>
      <c r="R355" s="177"/>
      <c r="S355" s="403"/>
      <c r="T355" s="525" t="s">
        <v>1913</v>
      </c>
      <c r="U355" s="525" t="s">
        <v>1329</v>
      </c>
      <c r="W355" s="446" t="s">
        <v>2273</v>
      </c>
      <c r="X355" s="446" t="s">
        <v>3409</v>
      </c>
      <c r="AA355" s="28"/>
      <c r="AB355" s="28"/>
      <c r="AC355" s="997"/>
      <c r="AD355" s="536"/>
    </row>
    <row r="356" spans="6:30" ht="10.5" customHeight="1">
      <c r="F356" s="347"/>
      <c r="G356" s="324"/>
      <c r="H356" s="324"/>
      <c r="I356" s="324"/>
      <c r="J356" s="324"/>
      <c r="K356" s="324"/>
      <c r="L356" s="324"/>
      <c r="M356" s="324"/>
      <c r="N356" s="324"/>
      <c r="O356" s="324"/>
      <c r="P356" s="586" t="s">
        <v>2295</v>
      </c>
      <c r="Q356" s="301"/>
      <c r="R356" s="177"/>
      <c r="S356" s="403"/>
      <c r="T356" s="525" t="s">
        <v>1947</v>
      </c>
      <c r="U356" s="525" t="s">
        <v>320</v>
      </c>
      <c r="W356" s="446" t="s">
        <v>2275</v>
      </c>
      <c r="X356" s="446" t="s">
        <v>3409</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2876</v>
      </c>
      <c r="U357" s="525" t="s">
        <v>661</v>
      </c>
      <c r="W357" s="446" t="s">
        <v>1126</v>
      </c>
      <c r="X357" s="446" t="s">
        <v>3409</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1950</v>
      </c>
      <c r="U358" s="525" t="s">
        <v>2602</v>
      </c>
      <c r="W358" s="446" t="s">
        <v>2140</v>
      </c>
      <c r="X358" s="446" t="s">
        <v>3409</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1952</v>
      </c>
      <c r="U359" s="525" t="s">
        <v>1326</v>
      </c>
      <c r="W359" s="446" t="s">
        <v>2141</v>
      </c>
      <c r="X359" s="446" t="s">
        <v>3409</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2259</v>
      </c>
      <c r="U360" s="525" t="s">
        <v>2544</v>
      </c>
      <c r="W360" s="446" t="s">
        <v>2142</v>
      </c>
      <c r="X360" s="446" t="s">
        <v>3409</v>
      </c>
      <c r="AA360" s="28"/>
      <c r="AB360" s="28"/>
      <c r="AC360" s="997"/>
      <c r="AD360" s="536"/>
    </row>
    <row r="361" spans="6:30" ht="10.5" customHeight="1">
      <c r="F361" s="347"/>
      <c r="G361" s="324"/>
      <c r="H361" s="324"/>
      <c r="I361" s="324"/>
      <c r="J361" s="324"/>
      <c r="K361" s="324"/>
      <c r="L361" s="324"/>
      <c r="M361" s="324"/>
      <c r="N361" s="324"/>
      <c r="O361" s="324"/>
      <c r="P361" s="586" t="s">
        <v>2402</v>
      </c>
      <c r="Q361" s="301"/>
      <c r="R361" s="177"/>
      <c r="S361" s="403"/>
      <c r="T361" s="525" t="s">
        <v>2589</v>
      </c>
      <c r="U361" s="525" t="s">
        <v>2187</v>
      </c>
      <c r="W361" s="446" t="s">
        <v>2347</v>
      </c>
      <c r="X361" s="446" t="s">
        <v>3409</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2349</v>
      </c>
      <c r="X362" s="446" t="s">
        <v>3409</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2276</v>
      </c>
      <c r="X363" s="446" t="s">
        <v>3409</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3409</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2022</v>
      </c>
      <c r="W365" s="446" t="s">
        <v>1699</v>
      </c>
      <c r="X365" s="446" t="s">
        <v>3409</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2499</v>
      </c>
      <c r="W366" s="446" t="s">
        <v>1087</v>
      </c>
      <c r="X366" s="446" t="s">
        <v>3409</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2294</v>
      </c>
      <c r="U367" s="525" t="s">
        <v>663</v>
      </c>
      <c r="W367" s="446" t="s">
        <v>1706</v>
      </c>
      <c r="X367" s="446" t="s">
        <v>3409</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2296</v>
      </c>
      <c r="U368" s="525" t="s">
        <v>1327</v>
      </c>
      <c r="W368" s="446" t="s">
        <v>1707</v>
      </c>
      <c r="X368" s="446" t="s">
        <v>3409</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3409</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3409</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3409</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2403</v>
      </c>
      <c r="U372" s="525" t="s">
        <v>158</v>
      </c>
      <c r="W372" s="446" t="s">
        <v>1715</v>
      </c>
      <c r="X372" s="446" t="s">
        <v>3409</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2498</v>
      </c>
      <c r="W373" s="446" t="s">
        <v>1717</v>
      </c>
      <c r="X373" s="446" t="s">
        <v>3409</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3409</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2378</v>
      </c>
      <c r="U375" s="525" t="s">
        <v>2496</v>
      </c>
      <c r="W375" s="446" t="s">
        <v>1722</v>
      </c>
      <c r="X375" s="446" t="s">
        <v>3409</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3409</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3409</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3409</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3409</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3409</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2504</v>
      </c>
      <c r="W381" s="446" t="s">
        <v>1553</v>
      </c>
      <c r="X381" s="446" t="s">
        <v>3409</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3409</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3409</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2257</v>
      </c>
      <c r="W384" s="446" t="s">
        <v>1560</v>
      </c>
      <c r="X384" s="446" t="s">
        <v>3409</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2477</v>
      </c>
      <c r="U385" s="525" t="s">
        <v>1892</v>
      </c>
      <c r="W385" s="446" t="s">
        <v>2398</v>
      </c>
      <c r="X385" s="446" t="s">
        <v>3409</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2194</v>
      </c>
      <c r="W386" s="446" t="s">
        <v>842</v>
      </c>
      <c r="X386" s="446" t="s">
        <v>3409</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3409</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2198</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2023</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2414</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2547</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1892</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2187</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1925</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2259</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2302</v>
      </c>
      <c r="Q411" s="301"/>
      <c r="R411" s="177"/>
      <c r="S411" s="403"/>
      <c r="T411" s="525" t="s">
        <v>1058</v>
      </c>
      <c r="U411" s="525" t="s">
        <v>2020</v>
      </c>
      <c r="AA411" s="28"/>
      <c r="AB411" s="28"/>
      <c r="AC411" s="536"/>
      <c r="AD411" s="536"/>
    </row>
    <row r="412" spans="6:30" ht="10.5" customHeight="1">
      <c r="F412" s="347"/>
      <c r="G412" s="324"/>
      <c r="H412" s="324"/>
      <c r="I412" s="324"/>
      <c r="J412" s="324"/>
      <c r="K412" s="324"/>
      <c r="L412" s="324"/>
      <c r="M412" s="324"/>
      <c r="N412" s="324"/>
      <c r="O412" s="324"/>
      <c r="P412" s="586" t="s">
        <v>2018</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2877</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1957</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2176</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2303</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2878</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2019</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2879</v>
      </c>
      <c r="U424" s="292" t="s">
        <v>321</v>
      </c>
      <c r="AA424" s="28"/>
      <c r="AB424" s="28"/>
      <c r="AC424" s="997"/>
      <c r="AD424" s="536"/>
    </row>
    <row r="425" spans="6:30" ht="10.5" customHeight="1">
      <c r="F425" s="347"/>
      <c r="G425" s="324"/>
      <c r="H425" s="324"/>
      <c r="I425" s="324"/>
      <c r="J425" s="324"/>
      <c r="K425" s="324"/>
      <c r="L425" s="324"/>
      <c r="M425" s="324"/>
      <c r="N425" s="324"/>
      <c r="O425" s="324"/>
      <c r="P425" s="586" t="s">
        <v>2336</v>
      </c>
      <c r="Q425" s="301"/>
      <c r="R425" s="177"/>
      <c r="S425" s="403"/>
      <c r="T425" s="525" t="s">
        <v>1043</v>
      </c>
      <c r="U425" s="525" t="s">
        <v>1925</v>
      </c>
      <c r="AA425" s="28"/>
      <c r="AB425" s="28"/>
      <c r="AC425" s="536"/>
      <c r="AD425" s="536"/>
    </row>
    <row r="426" spans="6:30" ht="10.5" customHeight="1">
      <c r="F426" s="347"/>
      <c r="G426" s="324"/>
      <c r="H426" s="324"/>
      <c r="I426" s="324"/>
      <c r="J426" s="324"/>
      <c r="K426" s="324"/>
      <c r="L426" s="324"/>
      <c r="M426" s="324"/>
      <c r="N426" s="324"/>
      <c r="O426" s="324"/>
      <c r="P426" s="586" t="s">
        <v>2337</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2318</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2319</v>
      </c>
      <c r="Q428" s="301"/>
      <c r="R428" s="177"/>
      <c r="S428" s="403"/>
      <c r="T428" s="292" t="s">
        <v>417</v>
      </c>
      <c r="U428" s="292" t="s">
        <v>2183</v>
      </c>
      <c r="AA428" s="28"/>
      <c r="AB428" s="28"/>
      <c r="AC428" s="997"/>
      <c r="AD428" s="536"/>
    </row>
    <row r="429" spans="6:30" ht="10.5" customHeight="1">
      <c r="F429" s="347"/>
      <c r="G429" s="324"/>
      <c r="H429" s="324"/>
      <c r="I429" s="324"/>
      <c r="J429" s="324"/>
      <c r="K429" s="324"/>
      <c r="L429" s="324"/>
      <c r="M429" s="324"/>
      <c r="N429" s="324"/>
      <c r="O429" s="324"/>
      <c r="P429" s="586" t="s">
        <v>2321</v>
      </c>
      <c r="Q429" s="301"/>
      <c r="R429" s="177"/>
      <c r="S429" s="403"/>
      <c r="T429" s="525" t="s">
        <v>1958</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2177</v>
      </c>
      <c r="U431" s="525" t="s">
        <v>1335</v>
      </c>
      <c r="AA431" s="28"/>
      <c r="AB431" s="28"/>
      <c r="AC431" s="997"/>
      <c r="AD431" s="536"/>
    </row>
    <row r="432" spans="6:30" ht="10.5" customHeight="1">
      <c r="F432" s="347"/>
      <c r="G432" s="324"/>
      <c r="H432" s="324"/>
      <c r="I432" s="324"/>
      <c r="J432" s="324"/>
      <c r="K432" s="324"/>
      <c r="L432" s="324"/>
      <c r="M432" s="324"/>
      <c r="N432" s="324"/>
      <c r="O432" s="324"/>
      <c r="P432" s="586" t="s">
        <v>2129</v>
      </c>
      <c r="Q432" s="301"/>
      <c r="R432" s="177"/>
      <c r="S432" s="403"/>
      <c r="T432" s="525" t="s">
        <v>1659</v>
      </c>
      <c r="U432" s="525" t="s">
        <v>1929</v>
      </c>
      <c r="AA432" s="28"/>
      <c r="AB432" s="28"/>
      <c r="AC432" s="997"/>
      <c r="AD432" s="536"/>
    </row>
    <row r="433" spans="6:30" ht="10.5" customHeight="1">
      <c r="F433" s="347"/>
      <c r="G433" s="324"/>
      <c r="H433" s="324"/>
      <c r="I433" s="324"/>
      <c r="J433" s="324"/>
      <c r="K433" s="324"/>
      <c r="L433" s="324"/>
      <c r="M433" s="324"/>
      <c r="N433" s="324"/>
      <c r="O433" s="324"/>
      <c r="P433" s="586" t="s">
        <v>1990</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1992</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2499</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2338</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2880</v>
      </c>
      <c r="U438" s="525" t="s">
        <v>2200</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2320</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2322</v>
      </c>
      <c r="U440" s="525" t="s">
        <v>1332</v>
      </c>
      <c r="AA440" s="28"/>
      <c r="AB440" s="28"/>
      <c r="AC440" s="998"/>
      <c r="AD440" s="536"/>
    </row>
    <row r="441" spans="6:30" ht="10.5" customHeight="1">
      <c r="F441" s="347"/>
      <c r="G441" s="324"/>
      <c r="H441" s="324"/>
      <c r="I441" s="324"/>
      <c r="J441" s="324"/>
      <c r="K441" s="324"/>
      <c r="L441" s="324"/>
      <c r="M441" s="324"/>
      <c r="N441" s="324"/>
      <c r="O441" s="324"/>
      <c r="P441" s="586" t="s">
        <v>2264</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2185</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2498</v>
      </c>
      <c r="AA444" s="28"/>
      <c r="AB444" s="28"/>
      <c r="AC444" s="997"/>
      <c r="AD444" s="536"/>
    </row>
    <row r="445" spans="6:30" ht="10.5" customHeight="1">
      <c r="F445" s="347"/>
      <c r="G445" s="324"/>
      <c r="H445" s="324"/>
      <c r="I445" s="324"/>
      <c r="J445" s="324"/>
      <c r="K445" s="324"/>
      <c r="L445" s="324"/>
      <c r="M445" s="324"/>
      <c r="N445" s="324"/>
      <c r="O445" s="324"/>
      <c r="P445" s="586" t="s">
        <v>2369</v>
      </c>
      <c r="Q445" s="301"/>
      <c r="R445" s="177"/>
      <c r="S445" s="403"/>
      <c r="T445" s="525" t="s">
        <v>1989</v>
      </c>
      <c r="U445" s="525" t="s">
        <v>2414</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1991</v>
      </c>
      <c r="U447" s="525" t="s">
        <v>2414</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2008</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2009</v>
      </c>
      <c r="Q453" s="301"/>
      <c r="R453" s="177"/>
      <c r="S453" s="403"/>
      <c r="T453" s="292" t="s">
        <v>74</v>
      </c>
      <c r="U453" s="292" t="s">
        <v>1933</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2265</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2023</v>
      </c>
      <c r="AA455" s="28"/>
      <c r="AB455" s="28"/>
      <c r="AC455" s="536"/>
      <c r="AD455" s="536"/>
    </row>
    <row r="456" spans="6:30" ht="10.5" customHeight="1">
      <c r="F456" s="347"/>
      <c r="G456" s="324"/>
      <c r="H456" s="324"/>
      <c r="I456" s="324"/>
      <c r="J456" s="324"/>
      <c r="K456" s="324"/>
      <c r="L456" s="324"/>
      <c r="M456" s="324"/>
      <c r="N456" s="324"/>
      <c r="O456" s="324"/>
      <c r="P456" s="586" t="s">
        <v>2427</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2214</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2215</v>
      </c>
      <c r="Q458" s="301"/>
      <c r="R458" s="177"/>
      <c r="S458" s="403"/>
      <c r="T458" s="525" t="s">
        <v>2368</v>
      </c>
      <c r="U458" s="525" t="s">
        <v>2498</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2370</v>
      </c>
      <c r="U459" s="525" t="s">
        <v>2194</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2353</v>
      </c>
      <c r="Q466" s="301"/>
      <c r="R466" s="177"/>
      <c r="S466" s="403"/>
      <c r="T466" s="525" t="s">
        <v>2881</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2010</v>
      </c>
      <c r="U467" s="525" t="s">
        <v>2022</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1929</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2498</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2428</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2545</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2192</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2352</v>
      </c>
      <c r="U480" s="525" t="s">
        <v>2607</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2354</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2020</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2022</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2023</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1892</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2022</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2190</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1892</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2507</v>
      </c>
      <c r="U500" s="525" t="s">
        <v>1923</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2339</v>
      </c>
      <c r="Q504" s="301"/>
      <c r="R504" s="177"/>
      <c r="S504" s="403"/>
      <c r="T504" s="525" t="s">
        <v>1585</v>
      </c>
      <c r="U504" s="525" t="s">
        <v>2198</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1892</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2605</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2188</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2544</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2882</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2607</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2414</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2340</v>
      </c>
      <c r="U518" s="525" t="s">
        <v>1106</v>
      </c>
      <c r="AA518" s="28"/>
      <c r="AB518" s="28"/>
      <c r="AC518" s="536"/>
      <c r="AD518" s="536"/>
    </row>
    <row r="519" spans="6:30" ht="10.5" customHeight="1">
      <c r="F519" s="347"/>
      <c r="G519" s="324"/>
      <c r="H519" s="324"/>
      <c r="I519" s="324"/>
      <c r="J519" s="324"/>
      <c r="K519" s="324"/>
      <c r="L519" s="324"/>
      <c r="M519" s="324"/>
      <c r="N519" s="324"/>
      <c r="O519" s="324"/>
      <c r="P519" s="586" t="s">
        <v>2092</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2883</v>
      </c>
      <c r="U520" s="525" t="s">
        <v>2198</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2109</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2111</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2093</v>
      </c>
      <c r="U532" s="525" t="s">
        <v>1106</v>
      </c>
      <c r="AA532" s="28"/>
      <c r="AB532" s="28"/>
      <c r="AC532" s="997"/>
      <c r="AD532" s="536"/>
    </row>
    <row r="533" spans="6:30" ht="10.5" customHeight="1">
      <c r="F533" s="347"/>
      <c r="G533" s="324"/>
      <c r="H533" s="324"/>
      <c r="I533" s="324"/>
      <c r="J533" s="324"/>
      <c r="K533" s="324"/>
      <c r="L533" s="324"/>
      <c r="M533" s="324"/>
      <c r="N533" s="324"/>
      <c r="O533" s="324"/>
      <c r="P533" s="586" t="s">
        <v>2357</v>
      </c>
      <c r="Q533" s="301"/>
      <c r="R533" s="177"/>
      <c r="S533" s="403"/>
      <c r="T533" s="525" t="s">
        <v>1648</v>
      </c>
      <c r="U533" s="525" t="s">
        <v>2023</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2299</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2262</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2290</v>
      </c>
      <c r="Q540" s="301"/>
      <c r="R540" s="177"/>
      <c r="S540" s="403"/>
      <c r="T540" s="525" t="s">
        <v>2600</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2110</v>
      </c>
      <c r="U544" s="292" t="s">
        <v>2504</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2300</v>
      </c>
      <c r="U549" s="525" t="s">
        <v>1218</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2300</v>
      </c>
      <c r="U550" s="525" t="s">
        <v>1218</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2263</v>
      </c>
      <c r="U552" s="525" t="s">
        <v>1329</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2183</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2605</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2502</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2288</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2606</v>
      </c>
      <c r="AA566" s="28"/>
      <c r="AB566" s="28"/>
      <c r="AC566" s="997"/>
      <c r="AD566" s="536"/>
    </row>
    <row r="567" spans="6:30" ht="10.5" customHeight="1">
      <c r="F567" s="347"/>
      <c r="G567" s="324"/>
      <c r="H567" s="324"/>
      <c r="I567" s="324"/>
      <c r="J567" s="324"/>
      <c r="K567" s="324"/>
      <c r="L567" s="324"/>
      <c r="M567" s="324"/>
      <c r="N567" s="324"/>
      <c r="O567" s="324"/>
      <c r="P567" s="586" t="s">
        <v>2068</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1844</v>
      </c>
      <c r="U568" s="525" t="s">
        <v>2257</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1847</v>
      </c>
      <c r="U569" s="525" t="s">
        <v>2257</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1851</v>
      </c>
      <c r="U571" s="525" t="s">
        <v>1679</v>
      </c>
      <c r="AA571" s="28"/>
      <c r="AB571" s="28"/>
      <c r="AC571" s="997"/>
      <c r="AD571" s="536"/>
    </row>
    <row r="572" spans="6:30" ht="10.5" customHeight="1">
      <c r="F572" s="347"/>
      <c r="G572" s="324"/>
      <c r="H572" s="324"/>
      <c r="I572" s="324"/>
      <c r="J572" s="324"/>
      <c r="K572" s="324"/>
      <c r="L572" s="324"/>
      <c r="M572" s="324"/>
      <c r="N572" s="324"/>
      <c r="O572" s="324"/>
      <c r="P572" s="586" t="s">
        <v>2134</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2136</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2138</v>
      </c>
      <c r="Q574" s="301"/>
      <c r="R574" s="177"/>
      <c r="S574" s="403"/>
      <c r="T574" s="525" t="s">
        <v>1960</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2607</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2183</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2190</v>
      </c>
      <c r="AA578" s="28"/>
      <c r="AB578" s="28"/>
      <c r="AC578" s="997"/>
      <c r="AD578" s="536"/>
    </row>
    <row r="579" spans="6:30" ht="10.5" customHeight="1">
      <c r="F579" s="347"/>
      <c r="G579" s="324"/>
      <c r="H579" s="324"/>
      <c r="I579" s="324"/>
      <c r="J579" s="324"/>
      <c r="K579" s="324"/>
      <c r="L579" s="324"/>
      <c r="M579" s="324"/>
      <c r="N579" s="324"/>
      <c r="O579" s="324"/>
      <c r="P579" s="586" t="s">
        <v>2066</v>
      </c>
      <c r="Q579" s="301"/>
      <c r="R579" s="177"/>
      <c r="S579" s="403"/>
      <c r="T579" s="525" t="s">
        <v>2287</v>
      </c>
      <c r="U579" s="525" t="s">
        <v>1681</v>
      </c>
      <c r="AA579" s="28"/>
      <c r="AB579" s="28"/>
      <c r="AC579" s="997"/>
      <c r="AD579" s="536"/>
    </row>
    <row r="580" spans="6:30" ht="10.5" customHeight="1">
      <c r="F580" s="347"/>
      <c r="G580" s="324"/>
      <c r="H580" s="324"/>
      <c r="I580" s="324"/>
      <c r="J580" s="324"/>
      <c r="K580" s="324"/>
      <c r="L580" s="324"/>
      <c r="M580" s="324"/>
      <c r="N580" s="324"/>
      <c r="O580" s="324"/>
      <c r="P580" s="586" t="s">
        <v>1885</v>
      </c>
      <c r="Q580" s="301"/>
      <c r="R580" s="177"/>
      <c r="S580" s="403"/>
      <c r="T580" s="525" t="s">
        <v>2289</v>
      </c>
      <c r="U580" s="525" t="s">
        <v>2187</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2605</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2884</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2885</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2135</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2137</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2886</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2158</v>
      </c>
      <c r="Q599" s="301"/>
      <c r="R599" s="177"/>
      <c r="S599" s="403"/>
      <c r="T599" s="525" t="s">
        <v>2067</v>
      </c>
      <c r="U599" s="525" t="s">
        <v>962</v>
      </c>
      <c r="AA599" s="28"/>
      <c r="AB599" s="28"/>
      <c r="AC599" s="997"/>
      <c r="AD599" s="536"/>
    </row>
    <row r="600" spans="6:30" ht="10.5" customHeight="1">
      <c r="F600" s="347"/>
      <c r="G600" s="324"/>
      <c r="H600" s="324"/>
      <c r="I600" s="324"/>
      <c r="J600" s="324"/>
      <c r="K600" s="324"/>
      <c r="L600" s="324"/>
      <c r="M600" s="324"/>
      <c r="N600" s="324"/>
      <c r="O600" s="324"/>
      <c r="P600" s="586" t="s">
        <v>2160</v>
      </c>
      <c r="Q600" s="301"/>
      <c r="R600" s="177"/>
      <c r="S600" s="403"/>
      <c r="T600" s="525" t="s">
        <v>1886</v>
      </c>
      <c r="U600" s="525" t="s">
        <v>1965</v>
      </c>
      <c r="AA600" s="28"/>
      <c r="AB600" s="28"/>
      <c r="AC600" s="997"/>
      <c r="AD600" s="536"/>
    </row>
    <row r="601" spans="6:30" ht="10.5" customHeight="1">
      <c r="F601" s="347"/>
      <c r="G601" s="324"/>
      <c r="H601" s="324"/>
      <c r="I601" s="324"/>
      <c r="J601" s="324"/>
      <c r="K601" s="324"/>
      <c r="L601" s="324"/>
      <c r="M601" s="324"/>
      <c r="N601" s="324"/>
      <c r="O601" s="324"/>
      <c r="P601" s="586" t="s">
        <v>2162</v>
      </c>
      <c r="Q601" s="301"/>
      <c r="R601" s="177"/>
      <c r="S601" s="403"/>
      <c r="T601" s="525" t="s">
        <v>280</v>
      </c>
      <c r="U601" s="525" t="s">
        <v>1965</v>
      </c>
      <c r="AA601" s="28"/>
      <c r="AB601" s="28"/>
      <c r="AC601" s="997"/>
      <c r="AD601" s="536"/>
    </row>
    <row r="602" spans="6:30" ht="10.5" customHeight="1">
      <c r="F602" s="347"/>
      <c r="G602" s="324"/>
      <c r="H602" s="324"/>
      <c r="I602" s="324"/>
      <c r="J602" s="324"/>
      <c r="K602" s="324"/>
      <c r="L602" s="324"/>
      <c r="M602" s="324"/>
      <c r="N602" s="324"/>
      <c r="O602" s="324"/>
      <c r="P602" s="586" t="s">
        <v>2164</v>
      </c>
      <c r="Q602" s="301"/>
      <c r="R602" s="177"/>
      <c r="S602" s="403"/>
      <c r="T602" s="525" t="s">
        <v>1698</v>
      </c>
      <c r="U602" s="525" t="s">
        <v>2192</v>
      </c>
      <c r="AA602" s="28"/>
      <c r="AB602" s="28"/>
      <c r="AC602" s="997"/>
      <c r="AD602" s="536"/>
    </row>
    <row r="603" spans="6:30" ht="10.5" customHeight="1">
      <c r="F603" s="347"/>
      <c r="G603" s="324"/>
      <c r="H603" s="324"/>
      <c r="I603" s="324"/>
      <c r="J603" s="324"/>
      <c r="K603" s="324"/>
      <c r="L603" s="324"/>
      <c r="M603" s="324"/>
      <c r="N603" s="324"/>
      <c r="O603" s="324"/>
      <c r="P603" s="586" t="s">
        <v>2166</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2032</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2416</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2412</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1931</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2280</v>
      </c>
      <c r="Q621" s="301"/>
      <c r="R621" s="177"/>
      <c r="S621" s="403"/>
      <c r="T621" s="525" t="s">
        <v>2157</v>
      </c>
      <c r="U621" s="525" t="s">
        <v>1339</v>
      </c>
      <c r="AA621" s="28"/>
      <c r="AB621" s="28"/>
      <c r="AC621" s="997"/>
      <c r="AD621" s="536"/>
    </row>
    <row r="622" spans="6:30" ht="10.5" customHeight="1">
      <c r="F622" s="347"/>
      <c r="G622" s="324"/>
      <c r="H622" s="324"/>
      <c r="I622" s="324"/>
      <c r="J622" s="324"/>
      <c r="K622" s="324"/>
      <c r="L622" s="324"/>
      <c r="M622" s="324"/>
      <c r="N622" s="324"/>
      <c r="O622" s="324"/>
      <c r="P622" s="586" t="s">
        <v>2282</v>
      </c>
      <c r="Q622" s="301"/>
      <c r="R622" s="177"/>
      <c r="S622" s="403"/>
      <c r="T622" s="525" t="s">
        <v>2159</v>
      </c>
      <c r="U622" s="525" t="s">
        <v>2198</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2161</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2163</v>
      </c>
      <c r="U624" s="525" t="s">
        <v>1465</v>
      </c>
      <c r="AA624" s="28"/>
      <c r="AB624" s="28"/>
      <c r="AC624" s="997"/>
      <c r="AD624" s="536"/>
    </row>
    <row r="625" spans="6:30" ht="10.5" customHeight="1">
      <c r="F625" s="347"/>
      <c r="G625" s="324"/>
      <c r="H625" s="324"/>
      <c r="I625" s="324"/>
      <c r="J625" s="324"/>
      <c r="K625" s="324"/>
      <c r="L625" s="324"/>
      <c r="M625" s="324"/>
      <c r="N625" s="324"/>
      <c r="O625" s="324"/>
      <c r="P625" s="586" t="s">
        <v>2178</v>
      </c>
      <c r="Q625" s="301"/>
      <c r="R625" s="177"/>
      <c r="S625" s="403"/>
      <c r="T625" s="292" t="s">
        <v>2165</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2200</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2190</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2498</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2504</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2548</v>
      </c>
      <c r="AA637" s="28"/>
      <c r="AB637" s="28"/>
      <c r="AC637" s="536"/>
      <c r="AD637" s="536"/>
    </row>
    <row r="638" spans="6:30" ht="10.5" customHeight="1">
      <c r="F638" s="347"/>
      <c r="G638" s="324"/>
      <c r="H638" s="324"/>
      <c r="I638" s="324"/>
      <c r="J638" s="324"/>
      <c r="K638" s="324"/>
      <c r="L638" s="324"/>
      <c r="M638" s="324"/>
      <c r="N638" s="324"/>
      <c r="O638" s="324"/>
      <c r="P638" s="586" t="s">
        <v>2395</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1191</v>
      </c>
      <c r="U639" s="525" t="s">
        <v>1965</v>
      </c>
      <c r="AA639" s="28"/>
      <c r="AB639" s="28"/>
      <c r="AC639" s="997"/>
      <c r="AD639" s="536"/>
    </row>
    <row r="640" spans="6:30" ht="10.5" customHeight="1">
      <c r="F640" s="347"/>
      <c r="G640" s="324"/>
      <c r="H640" s="324"/>
      <c r="I640" s="324"/>
      <c r="J640" s="324"/>
      <c r="K640" s="324"/>
      <c r="L640" s="324"/>
      <c r="M640" s="324"/>
      <c r="N640" s="324"/>
      <c r="O640" s="324"/>
      <c r="P640" s="586" t="s">
        <v>2016</v>
      </c>
      <c r="Q640" s="301"/>
      <c r="R640" s="177"/>
      <c r="S640" s="403"/>
      <c r="T640" s="525" t="s">
        <v>2887</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2281</v>
      </c>
      <c r="U642" s="525" t="s">
        <v>2183</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2283</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2537</v>
      </c>
      <c r="U645" s="525" t="s">
        <v>2022</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2179</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2006</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2600</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1896</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1897</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1899</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1901</v>
      </c>
      <c r="Q654" s="301"/>
      <c r="R654" s="177"/>
      <c r="S654" s="403"/>
      <c r="T654" s="525" t="s">
        <v>1315</v>
      </c>
      <c r="U654" s="525" t="s">
        <v>1923</v>
      </c>
      <c r="AA654" s="28"/>
      <c r="AB654" s="28"/>
      <c r="AC654" s="997"/>
      <c r="AD654" s="536"/>
    </row>
    <row r="655" spans="6:30" ht="10.5" customHeight="1">
      <c r="F655" s="347"/>
      <c r="G655" s="324"/>
      <c r="H655" s="324"/>
      <c r="I655" s="324"/>
      <c r="J655" s="324"/>
      <c r="K655" s="324"/>
      <c r="L655" s="324"/>
      <c r="M655" s="324"/>
      <c r="N655" s="324"/>
      <c r="O655" s="324"/>
      <c r="P655" s="586" t="s">
        <v>1903</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2888</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2889</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880</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2183</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2783</v>
      </c>
      <c r="U663" s="525" t="s">
        <v>1620</v>
      </c>
      <c r="AA663" s="28"/>
      <c r="AB663" s="28"/>
      <c r="AC663" s="997"/>
      <c r="AD663" s="536"/>
    </row>
    <row r="664" spans="6:30" ht="10.5" customHeight="1">
      <c r="F664" s="347"/>
      <c r="G664" s="324"/>
      <c r="H664" s="324"/>
      <c r="I664" s="324"/>
      <c r="J664" s="324"/>
      <c r="K664" s="324"/>
      <c r="L664" s="324"/>
      <c r="M664" s="324"/>
      <c r="N664" s="324"/>
      <c r="O664" s="324"/>
      <c r="P664" s="586" t="s">
        <v>2115</v>
      </c>
      <c r="Q664" s="301"/>
      <c r="R664" s="177"/>
      <c r="S664" s="403"/>
      <c r="T664" s="525" t="s">
        <v>1481</v>
      </c>
      <c r="U664" s="525" t="s">
        <v>2547</v>
      </c>
      <c r="AA664" s="28"/>
      <c r="AB664" s="28"/>
      <c r="AC664" s="997"/>
      <c r="AD664" s="536"/>
    </row>
    <row r="665" spans="6:30" ht="10.5" customHeight="1">
      <c r="F665" s="347"/>
      <c r="G665" s="324"/>
      <c r="H665" s="324"/>
      <c r="I665" s="324"/>
      <c r="J665" s="324"/>
      <c r="K665" s="324"/>
      <c r="L665" s="324"/>
      <c r="M665" s="324"/>
      <c r="N665" s="324"/>
      <c r="O665" s="324"/>
      <c r="P665" s="586" t="s">
        <v>2116</v>
      </c>
      <c r="Q665" s="301"/>
      <c r="R665" s="177"/>
      <c r="S665" s="403"/>
      <c r="T665" s="525" t="s">
        <v>2890</v>
      </c>
      <c r="U665" s="525" t="s">
        <v>1965</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2196</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2547</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2007</v>
      </c>
      <c r="U670" s="292" t="s">
        <v>1117</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1915</v>
      </c>
      <c r="Q674" s="301"/>
      <c r="R674" s="177"/>
      <c r="S674" s="403"/>
      <c r="T674" s="525" t="s">
        <v>1898</v>
      </c>
      <c r="U674" s="525" t="s">
        <v>1115</v>
      </c>
      <c r="AA674" s="28"/>
      <c r="AB674" s="28"/>
      <c r="AC674" s="997"/>
      <c r="AD674" s="536"/>
    </row>
    <row r="675" spans="6:30" ht="10.5" customHeight="1">
      <c r="F675" s="347"/>
      <c r="G675" s="324"/>
      <c r="H675" s="324"/>
      <c r="I675" s="324"/>
      <c r="J675" s="324"/>
      <c r="K675" s="324"/>
      <c r="L675" s="324"/>
      <c r="M675" s="324"/>
      <c r="N675" s="324"/>
      <c r="O675" s="324"/>
      <c r="P675" s="586" t="s">
        <v>1916</v>
      </c>
      <c r="Q675" s="301"/>
      <c r="R675" s="177"/>
      <c r="S675" s="403"/>
      <c r="T675" s="525" t="s">
        <v>1900</v>
      </c>
      <c r="U675" s="525" t="s">
        <v>1467</v>
      </c>
      <c r="AA675" s="28"/>
      <c r="AB675" s="28"/>
      <c r="AC675" s="997"/>
      <c r="AD675" s="536"/>
    </row>
    <row r="676" spans="6:30" ht="10.5" customHeight="1">
      <c r="F676" s="347"/>
      <c r="G676" s="324"/>
      <c r="H676" s="324"/>
      <c r="I676" s="324"/>
      <c r="J676" s="324"/>
      <c r="K676" s="324"/>
      <c r="L676" s="324"/>
      <c r="M676" s="324"/>
      <c r="N676" s="324"/>
      <c r="O676" s="324"/>
      <c r="P676" s="586" t="s">
        <v>1918</v>
      </c>
      <c r="Q676" s="301"/>
      <c r="R676" s="177"/>
      <c r="S676" s="403"/>
      <c r="T676" s="525" t="s">
        <v>1902</v>
      </c>
      <c r="U676" s="525" t="s">
        <v>2501</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1904</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2023</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2552</v>
      </c>
      <c r="U679" s="525" t="s">
        <v>1927</v>
      </c>
      <c r="AA679" s="28"/>
      <c r="AB679" s="28"/>
      <c r="AC679" s="997"/>
      <c r="AD679" s="536"/>
    </row>
    <row r="680" spans="6:30" ht="10.5" customHeight="1">
      <c r="F680" s="347"/>
      <c r="G680" s="324"/>
      <c r="H680" s="324"/>
      <c r="I680" s="324"/>
      <c r="J680" s="324"/>
      <c r="K680" s="324"/>
      <c r="L680" s="324"/>
      <c r="M680" s="324"/>
      <c r="N680" s="324"/>
      <c r="O680" s="324"/>
      <c r="P680" s="586" t="s">
        <v>2323</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2533</v>
      </c>
      <c r="U682" s="525" t="s">
        <v>886</v>
      </c>
      <c r="AA682" s="28"/>
      <c r="AB682" s="28"/>
      <c r="AC682" s="997"/>
      <c r="AD682" s="536"/>
    </row>
    <row r="683" spans="6:30" ht="10.5" customHeight="1">
      <c r="F683" s="347"/>
      <c r="G683" s="324"/>
      <c r="H683" s="324"/>
      <c r="I683" s="324"/>
      <c r="J683" s="324"/>
      <c r="K683" s="324"/>
      <c r="L683" s="324"/>
      <c r="M683" s="324"/>
      <c r="N683" s="324"/>
      <c r="O683" s="324"/>
      <c r="P683" s="586" t="s">
        <v>2272</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2274</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2891</v>
      </c>
      <c r="U686" s="525" t="s">
        <v>885</v>
      </c>
      <c r="AA686" s="28"/>
      <c r="AB686" s="28"/>
      <c r="AC686" s="997"/>
      <c r="AD686" s="536"/>
    </row>
    <row r="687" spans="6:30" ht="10.5" customHeight="1">
      <c r="F687" s="347"/>
      <c r="G687" s="324"/>
      <c r="H687" s="324"/>
      <c r="I687" s="324"/>
      <c r="J687" s="324"/>
      <c r="K687" s="324"/>
      <c r="L687" s="324"/>
      <c r="M687" s="324"/>
      <c r="N687" s="324"/>
      <c r="O687" s="324"/>
      <c r="P687" s="586" t="s">
        <v>2062</v>
      </c>
      <c r="Q687" s="301"/>
      <c r="R687" s="177"/>
      <c r="S687" s="403"/>
      <c r="T687" s="525" t="s">
        <v>2117</v>
      </c>
      <c r="U687" s="525" t="s">
        <v>1339</v>
      </c>
      <c r="AA687" s="28"/>
      <c r="AB687" s="28"/>
      <c r="AC687" s="997"/>
      <c r="AD687" s="536"/>
    </row>
    <row r="688" spans="6:30" ht="10.5" customHeight="1">
      <c r="F688" s="347"/>
      <c r="G688" s="324"/>
      <c r="H688" s="324"/>
      <c r="I688" s="324"/>
      <c r="J688" s="324"/>
      <c r="K688" s="324"/>
      <c r="L688" s="324"/>
      <c r="M688" s="324"/>
      <c r="N688" s="324"/>
      <c r="O688" s="324"/>
      <c r="P688" s="586" t="s">
        <v>1983</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1985</v>
      </c>
      <c r="Q689" s="301"/>
      <c r="R689" s="177"/>
      <c r="S689" s="403"/>
      <c r="T689" s="525" t="s">
        <v>946</v>
      </c>
      <c r="U689" s="525" t="s">
        <v>2257</v>
      </c>
      <c r="AA689" s="28"/>
      <c r="AB689" s="28"/>
      <c r="AC689" s="997"/>
      <c r="AD689" s="536"/>
    </row>
    <row r="690" spans="6:30" ht="10.5" customHeight="1">
      <c r="F690" s="347"/>
      <c r="G690" s="324"/>
      <c r="H690" s="324"/>
      <c r="I690" s="324"/>
      <c r="J690" s="324"/>
      <c r="K690" s="324"/>
      <c r="L690" s="324"/>
      <c r="M690" s="324"/>
      <c r="N690" s="324"/>
      <c r="O690" s="324"/>
      <c r="P690" s="586" t="s">
        <v>1987</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2517</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1914</v>
      </c>
      <c r="U692" s="525" t="s">
        <v>122</v>
      </c>
      <c r="AA692" s="28"/>
      <c r="AB692" s="28"/>
      <c r="AC692" s="997"/>
      <c r="AD692" s="536"/>
    </row>
    <row r="693" spans="6:30" ht="10.5" customHeight="1">
      <c r="F693" s="347"/>
      <c r="G693" s="324"/>
      <c r="H693" s="324"/>
      <c r="I693" s="324"/>
      <c r="J693" s="324"/>
      <c r="K693" s="324"/>
      <c r="L693" s="324"/>
      <c r="M693" s="324"/>
      <c r="N693" s="324"/>
      <c r="O693" s="324"/>
      <c r="P693" s="586" t="s">
        <v>2112</v>
      </c>
      <c r="Q693" s="301"/>
      <c r="R693" s="177"/>
      <c r="S693" s="403"/>
      <c r="T693" s="525" t="s">
        <v>1917</v>
      </c>
      <c r="U693" s="525" t="s">
        <v>2257</v>
      </c>
      <c r="AA693" s="28"/>
      <c r="AB693" s="28"/>
      <c r="AC693" s="997"/>
      <c r="AD693" s="536"/>
    </row>
    <row r="694" spans="6:30" ht="10.5" customHeight="1">
      <c r="F694" s="347"/>
      <c r="G694" s="324"/>
      <c r="H694" s="324"/>
      <c r="I694" s="324"/>
      <c r="J694" s="324"/>
      <c r="K694" s="324"/>
      <c r="L694" s="324"/>
      <c r="M694" s="324"/>
      <c r="N694" s="324"/>
      <c r="O694" s="324"/>
      <c r="P694" s="586" t="s">
        <v>2139</v>
      </c>
      <c r="Q694" s="1037"/>
      <c r="R694" s="1037"/>
      <c r="S694" s="1038"/>
      <c r="T694" s="525" t="s">
        <v>1919</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2416</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2187</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1925</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2020</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2324</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2257</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2271</v>
      </c>
      <c r="U702" s="525" t="s">
        <v>1931</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2273</v>
      </c>
      <c r="U703" s="525" t="s">
        <v>2183</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2275</v>
      </c>
      <c r="U704" s="525" t="s">
        <v>2416</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2892</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2194</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2063</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1984</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1986</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1988</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2893</v>
      </c>
      <c r="U712" s="525" t="s">
        <v>1925</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2113</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2140</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2020</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2141</v>
      </c>
      <c r="U717" s="525" t="s">
        <v>2020</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2142</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2347</v>
      </c>
      <c r="U719" s="525" t="s">
        <v>1890</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2348</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2349</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2350</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2351</v>
      </c>
      <c r="U723" s="525" t="s">
        <v>2412</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2276</v>
      </c>
      <c r="U724" s="525" t="s">
        <v>2188</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2414</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1964</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2257</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1964</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1923</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2023</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1892</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2416</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2412</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2024</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1929</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1892</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2194</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2396</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2397</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2398</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2020</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2894</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1925</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pEe+cb55rf3Cip9bFTIipMpNDZie2N0LJfhH7lhkOKvnzL3ZP14Xz2lzcijb+q5IhheBACvvW8PKQikoy0O4lA==" saltValue="JRZ6oVhNDC1qERRre9+a7g=="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2.2851562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Sparrow Pointe at Forest Hill</v>
      </c>
    </row>
    <row r="3" spans="1:16" ht="16.5">
      <c r="A3" s="2345" t="str">
        <f>CONCATENATE('Part I-Project Information'!F38,", ", 'Part I-Project Information'!J39," County")</f>
        <v>Moultrie, Colquitt County</v>
      </c>
    </row>
    <row r="5" spans="1:16" ht="12.75" customHeight="1">
      <c r="A5" s="2346" t="str">
        <f>'Project Narrative'!$A$5</f>
        <v xml:space="preserve">This Family community in the City of Moultrie, Colquitt County will be a 50-unit, all new construction, townhome development located between Hillcrest Ave &amp; 8th Street. The entire site is comprised of 9 +/- acres currently owned Seedtime Harvest International Church and is entirely within the city limits of Moultrie.  
All units will be reserved for low income households coming from the Moultrie and surrounding Colquitt County community with a Tax Credit Election of 40% of the units at 60% AMI, with ten (10) units reserved at 50% and forty (40) units reserved at 60%. Twenty (20) of the townhomes will be three-bedroom/two-bathroom, twenty-four (24) will be two-bedroom/two-bathroom, and six (6) will be one-bedroom/one-bathroom. 
The site is in close proximity to community amenities for easy access by residents. An onsite property manager will assist in facilitating resident events on a monthly, quarterly, and annual basis. The development will be constructed to meet the requirements of Southface's Earthcraft Multifamily certification. Landscaping and general site layout, plus carefully selected exterior construction options, will come together to create an attractive community. Interior finishes and design options will ensure a comfortable home for residents.  
The Developer and sole member of the General Partner for the Moultrie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  Financing partners include Florida Housing Finance Corporation, First Housing Finance Corp., PNC Bank, Raymond James, SunTrust, and Edison Capital.  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347440000, 317760000,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4519</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2379</v>
      </c>
      <c r="C16" s="2350"/>
      <c r="D16" s="2350"/>
      <c r="E16" s="2350"/>
      <c r="F16" s="2348"/>
      <c r="G16" s="2352" t="s">
        <v>4707</v>
      </c>
      <c r="H16" s="2350"/>
      <c r="I16" s="2350"/>
      <c r="J16" s="2350"/>
      <c r="K16" s="2350"/>
      <c r="L16" s="2348"/>
      <c r="M16" s="2350"/>
      <c r="N16" s="2350"/>
      <c r="O16" s="2350"/>
      <c r="P16" s="2353" t="s">
        <v>3898</v>
      </c>
    </row>
    <row r="17" spans="1:16" ht="14.25" customHeight="1">
      <c r="A17" s="2350"/>
      <c r="B17" s="2354"/>
      <c r="C17" s="2354"/>
      <c r="D17" s="2354"/>
      <c r="E17" s="2354"/>
      <c r="F17" s="2348"/>
      <c r="G17" s="2352" t="s">
        <v>4708</v>
      </c>
      <c r="H17" s="2355"/>
      <c r="I17" s="2355"/>
      <c r="J17" s="2355"/>
      <c r="K17" s="2350"/>
      <c r="L17" s="2350"/>
      <c r="M17" s="2350"/>
      <c r="N17" s="2350"/>
      <c r="O17" s="2347" t="str">
        <f>'Part I-Project Information'!$O$6</f>
        <v>2018-030</v>
      </c>
      <c r="P17" s="2347"/>
    </row>
    <row r="18" spans="1:16">
      <c r="A18" s="2350"/>
      <c r="B18" s="2354"/>
      <c r="C18" s="2354"/>
      <c r="D18" s="2354"/>
      <c r="E18" s="2354"/>
      <c r="F18" s="2347"/>
      <c r="G18" s="2356" t="s">
        <v>3338</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2390</v>
      </c>
      <c r="C20" s="2350"/>
      <c r="D20" s="2357"/>
      <c r="E20" s="2355"/>
      <c r="F20" s="2358" t="s">
        <v>3826</v>
      </c>
      <c r="G20" s="2350"/>
      <c r="H20" s="2350"/>
      <c r="I20" s="2359">
        <f>'Part IV-A-Uses of Funds'!$J$175</f>
        <v>850000</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2055</v>
      </c>
      <c r="C22" s="2350"/>
      <c r="D22" s="2350"/>
      <c r="E22" s="2350"/>
      <c r="F22" s="2362" t="str">
        <f>'Part I-Project Information'!$F$11</f>
        <v>9% Credit Competitive Round only</v>
      </c>
      <c r="G22" s="2362"/>
      <c r="H22" s="2362"/>
      <c r="I22" s="2363" t="s">
        <v>3741</v>
      </c>
      <c r="J22" s="2347" t="s">
        <v>4709</v>
      </c>
      <c r="K22" s="2347"/>
      <c r="L22" s="2355"/>
      <c r="M22" s="2350"/>
      <c r="N22" s="2350"/>
      <c r="O22" s="2350" t="str">
        <f>'Part I-Project Information'!$O$11</f>
        <v>2018PA-023</v>
      </c>
      <c r="P22" s="2350"/>
    </row>
    <row r="23" spans="1:16" ht="13.5" customHeight="1">
      <c r="A23" s="2348"/>
      <c r="B23" s="2364" t="s">
        <v>4520</v>
      </c>
      <c r="C23" s="2364"/>
      <c r="D23" s="2364"/>
      <c r="E23" s="2350"/>
      <c r="F23" s="2350"/>
      <c r="G23" s="2350"/>
      <c r="H23" s="2355"/>
      <c r="I23" s="2350"/>
      <c r="J23" s="2358" t="s">
        <v>2750</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3824</v>
      </c>
      <c r="K25" s="2350"/>
      <c r="L25" s="2350"/>
      <c r="M25" s="2350"/>
      <c r="N25" s="2350"/>
      <c r="O25" s="2350"/>
      <c r="P25" s="2350"/>
    </row>
    <row r="26" spans="1:16">
      <c r="A26" s="2348"/>
      <c r="B26" s="2350" t="s">
        <v>3899</v>
      </c>
      <c r="C26" s="2350"/>
      <c r="D26" s="2347"/>
      <c r="E26" s="2350"/>
      <c r="F26" s="2366">
        <f>'Part I-Project Information'!$F$15</f>
        <v>0</v>
      </c>
      <c r="G26" s="2366"/>
      <c r="H26" s="2366"/>
      <c r="I26" s="2366"/>
      <c r="J26" s="2366"/>
      <c r="K26" s="2366"/>
      <c r="L26" s="2350" t="s">
        <v>3823</v>
      </c>
      <c r="M26" s="2350"/>
      <c r="N26" s="2350"/>
      <c r="O26" s="2350">
        <f>'Part I-Project Information'!$O$15</f>
        <v>0</v>
      </c>
      <c r="P26" s="2350"/>
    </row>
    <row r="27" spans="1:16">
      <c r="A27" s="2348"/>
      <c r="B27" s="2350" t="s">
        <v>3825</v>
      </c>
      <c r="C27" s="2350"/>
      <c r="D27" s="2350"/>
      <c r="E27" s="2350"/>
      <c r="F27" s="2365">
        <f>'Part I-Project Information'!F16</f>
        <v>0</v>
      </c>
      <c r="G27" s="2350" t="s">
        <v>3882</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3910</v>
      </c>
      <c r="C31" s="2350"/>
      <c r="D31" s="2350"/>
      <c r="E31" s="2350"/>
      <c r="F31" s="2350" t="str">
        <f>'Part I-Project Information'!F20</f>
        <v>DDER Development, LLC</v>
      </c>
      <c r="G31" s="2350">
        <f>'Part I-Project Information'!G20</f>
        <v>0</v>
      </c>
      <c r="H31" s="2350">
        <f>'Part I-Project Information'!H20</f>
        <v>0</v>
      </c>
      <c r="I31" s="2350" t="s">
        <v>1810</v>
      </c>
      <c r="J31" s="2350" t="str">
        <f>'Part I-Project Information'!J20</f>
        <v>Deion Lowery</v>
      </c>
      <c r="K31" s="2350">
        <f>'Part I-Project Information'!K20</f>
        <v>0</v>
      </c>
      <c r="L31" s="2350">
        <f>'Part I-Project Information'!L20</f>
        <v>0</v>
      </c>
      <c r="M31" s="2358" t="s">
        <v>1995</v>
      </c>
      <c r="N31" s="2350" t="str">
        <f>'Part I-Project Information'!N20</f>
        <v>Principal</v>
      </c>
      <c r="O31" s="2350">
        <f>'Part I-Project Information'!O20</f>
        <v>0</v>
      </c>
      <c r="P31" s="2350">
        <f>'Part I-Project Information'!P20</f>
        <v>0</v>
      </c>
    </row>
    <row r="32" spans="1:16" ht="12.75" customHeight="1">
      <c r="A32" s="2350"/>
      <c r="B32" s="2358" t="s">
        <v>1996</v>
      </c>
      <c r="C32" s="2350"/>
      <c r="D32" s="2350"/>
      <c r="E32" s="2350"/>
      <c r="F32" s="2350" t="str">
        <f>'Part I-Project Information'!F21</f>
        <v>1631 E. Vine Street, Suite 300</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3909</v>
      </c>
      <c r="N32" s="2368"/>
      <c r="O32" s="2368"/>
      <c r="P32" s="2368"/>
    </row>
    <row r="33" spans="1:16" ht="12.75" customHeight="1">
      <c r="A33" s="2350"/>
      <c r="B33" s="2358" t="s">
        <v>624</v>
      </c>
      <c r="C33" s="2350"/>
      <c r="D33" s="2350"/>
      <c r="E33" s="2350"/>
      <c r="F33" s="2350" t="str">
        <f>'Part I-Project Information'!F22</f>
        <v>Kissimmee</v>
      </c>
      <c r="G33" s="2350">
        <f>'Part I-Project Information'!G22</f>
        <v>0</v>
      </c>
      <c r="H33" s="2350">
        <f>'Part I-Project Information'!H22</f>
        <v>0</v>
      </c>
      <c r="I33" s="2358" t="s">
        <v>1812</v>
      </c>
      <c r="J33" s="2369" t="str">
        <f>'Part I-Project Information'!J22</f>
        <v>FL</v>
      </c>
      <c r="K33" s="2350"/>
      <c r="L33" s="2350"/>
      <c r="M33" s="2368"/>
      <c r="N33" s="2368"/>
      <c r="O33" s="2368"/>
      <c r="P33" s="2368"/>
    </row>
    <row r="34" spans="1:16">
      <c r="A34" s="2350"/>
      <c r="B34" s="2358" t="s">
        <v>2244</v>
      </c>
      <c r="C34" s="2350"/>
      <c r="D34" s="2350"/>
      <c r="E34" s="2350"/>
      <c r="F34" s="2370">
        <f>'Part I-Project Information'!F23</f>
        <v>347440000</v>
      </c>
      <c r="G34" s="2370">
        <f>'Part I-Project Information'!G23</f>
        <v>0</v>
      </c>
      <c r="H34" s="2370">
        <f>'Part I-Project Information'!H23</f>
        <v>0</v>
      </c>
      <c r="I34" s="2358" t="s">
        <v>1733</v>
      </c>
      <c r="J34" s="2371">
        <f>'Part I-Project Information'!J23</f>
        <v>9046196215</v>
      </c>
      <c r="K34" s="2371">
        <f>'Part I-Project Information'!K23</f>
        <v>0</v>
      </c>
      <c r="L34" s="2355" t="s">
        <v>1732</v>
      </c>
      <c r="M34" s="2355">
        <f>'Part I-Project Information'!M23</f>
        <v>0</v>
      </c>
      <c r="N34" s="2358" t="s">
        <v>1734</v>
      </c>
      <c r="O34" s="2371">
        <f>'Part I-Project Information'!O23</f>
        <v>0</v>
      </c>
      <c r="P34" s="2371">
        <f>'Part I-Project Information'!P23</f>
        <v>0</v>
      </c>
    </row>
    <row r="35" spans="1:16">
      <c r="A35" s="2350"/>
      <c r="B35" s="2358" t="s">
        <v>1999</v>
      </c>
      <c r="C35" s="2350"/>
      <c r="D35" s="2350"/>
      <c r="E35" s="2350"/>
      <c r="F35" s="2350" t="str">
        <f>'Part I-Project Information'!F24</f>
        <v>lisa.lacock@birdsonghousing.com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1994</v>
      </c>
      <c r="O35" s="2371">
        <f>'Part I-Project Information'!O24</f>
        <v>0</v>
      </c>
      <c r="P35" s="2371">
        <f>'Part I-Project Information'!P24</f>
        <v>0</v>
      </c>
    </row>
    <row r="36" spans="1:16">
      <c r="A36" s="2348"/>
      <c r="B36" s="2347" t="s">
        <v>4110</v>
      </c>
      <c r="C36" s="2357"/>
      <c r="D36" s="2350"/>
      <c r="E36" s="2350"/>
      <c r="F36" s="2350"/>
      <c r="G36" s="2350"/>
      <c r="H36" s="2355"/>
      <c r="I36" s="2350"/>
      <c r="J36" s="2357"/>
      <c r="K36" s="2350"/>
      <c r="L36" s="2350"/>
      <c r="M36" s="2350"/>
      <c r="N36" s="2350"/>
      <c r="O36" s="2350"/>
      <c r="P36" s="2372"/>
    </row>
    <row r="37" spans="1:16">
      <c r="A37" s="2350"/>
      <c r="B37" s="2350" t="s">
        <v>3910</v>
      </c>
      <c r="C37" s="2350"/>
      <c r="D37" s="2350"/>
      <c r="E37" s="2350"/>
      <c r="F37" s="2350" t="str">
        <f>'Part I-Project Information'!F26</f>
        <v>DDER Development, LLC</v>
      </c>
      <c r="G37" s="2350">
        <f>'Part I-Project Information'!G26</f>
        <v>0</v>
      </c>
      <c r="H37" s="2350">
        <f>'Part I-Project Information'!H26</f>
        <v>0</v>
      </c>
      <c r="I37" s="2350" t="s">
        <v>1810</v>
      </c>
      <c r="J37" s="2350" t="str">
        <f>'Part I-Project Information'!J26</f>
        <v>Lisa Lacock</v>
      </c>
      <c r="K37" s="2350">
        <f>'Part I-Project Information'!K26</f>
        <v>0</v>
      </c>
      <c r="L37" s="2350">
        <f>'Part I-Project Information'!L26</f>
        <v>0</v>
      </c>
      <c r="M37" s="2358" t="s">
        <v>1995</v>
      </c>
      <c r="N37" s="2350" t="str">
        <f>'Part I-Project Information'!N26</f>
        <v>Director of Development</v>
      </c>
      <c r="O37" s="2350">
        <f>'Part I-Project Information'!O26</f>
        <v>0</v>
      </c>
      <c r="P37" s="2350">
        <f>'Part I-Project Information'!P26</f>
        <v>0</v>
      </c>
    </row>
    <row r="38" spans="1:16" ht="12.75" customHeight="1">
      <c r="A38" s="2350"/>
      <c r="B38" s="2358" t="s">
        <v>1996</v>
      </c>
      <c r="C38" s="2350"/>
      <c r="D38" s="2350"/>
      <c r="E38" s="2350"/>
      <c r="F38" s="2350" t="str">
        <f>'Part I-Project Information'!F27</f>
        <v>1631 E. Vine Street, Suite 300</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3909</v>
      </c>
      <c r="N38" s="2368"/>
      <c r="O38" s="2368"/>
      <c r="P38" s="2368"/>
    </row>
    <row r="39" spans="1:16" ht="12.75" customHeight="1">
      <c r="A39" s="2350"/>
      <c r="B39" s="2358" t="s">
        <v>624</v>
      </c>
      <c r="C39" s="2350"/>
      <c r="D39" s="2350"/>
      <c r="E39" s="2350"/>
      <c r="F39" s="2350" t="str">
        <f>'Part I-Project Information'!F28</f>
        <v>Kissimmee</v>
      </c>
      <c r="G39" s="2350">
        <f>'Part I-Project Information'!G28</f>
        <v>0</v>
      </c>
      <c r="H39" s="2350">
        <f>'Part I-Project Information'!H28</f>
        <v>0</v>
      </c>
      <c r="I39" s="2358" t="s">
        <v>1812</v>
      </c>
      <c r="J39" s="2369" t="str">
        <f>'Part I-Project Information'!J28</f>
        <v>FL</v>
      </c>
      <c r="K39" s="2350"/>
      <c r="L39" s="2350"/>
      <c r="M39" s="2368"/>
      <c r="N39" s="2368"/>
      <c r="O39" s="2368"/>
      <c r="P39" s="2368"/>
    </row>
    <row r="40" spans="1:16">
      <c r="A40" s="2350"/>
      <c r="B40" s="2358" t="s">
        <v>2244</v>
      </c>
      <c r="C40" s="2350"/>
      <c r="D40" s="2350"/>
      <c r="E40" s="2350"/>
      <c r="F40" s="2370">
        <f>'Part I-Project Information'!F29</f>
        <v>347440000</v>
      </c>
      <c r="G40" s="2370">
        <f>'Part I-Project Information'!G29</f>
        <v>0</v>
      </c>
      <c r="H40" s="2370">
        <f>'Part I-Project Information'!H29</f>
        <v>0</v>
      </c>
      <c r="I40" s="2358" t="s">
        <v>1733</v>
      </c>
      <c r="J40" s="2371">
        <f>'Part I-Project Information'!J29</f>
        <v>9046196215</v>
      </c>
      <c r="K40" s="2371">
        <f>'Part I-Project Information'!K29</f>
        <v>0</v>
      </c>
      <c r="L40" s="2355" t="s">
        <v>1732</v>
      </c>
      <c r="M40" s="2355">
        <f>'Part I-Project Information'!M29</f>
        <v>0</v>
      </c>
      <c r="N40" s="2358" t="s">
        <v>1734</v>
      </c>
      <c r="O40" s="2371">
        <f>'Part I-Project Information'!O29</f>
        <v>0</v>
      </c>
      <c r="P40" s="2371">
        <f>'Part I-Project Information'!P29</f>
        <v>0</v>
      </c>
    </row>
    <row r="41" spans="1:16">
      <c r="A41" s="2350"/>
      <c r="B41" s="2358" t="s">
        <v>1999</v>
      </c>
      <c r="C41" s="2350"/>
      <c r="D41" s="2350"/>
      <c r="E41" s="2350"/>
      <c r="F41" s="2350" t="str">
        <f>'Part I-Project Information'!F30</f>
        <v>lisa.lacock@birdsonghousing.com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1994</v>
      </c>
      <c r="O41" s="2371">
        <f>'Part I-Project Information'!O30</f>
        <v>9042347202</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Sparrow Pointe at Forest Hill</v>
      </c>
      <c r="G45" s="2366">
        <f>'Part I-Project Information'!G34</f>
        <v>0</v>
      </c>
      <c r="H45" s="2366">
        <f>'Part I-Project Information'!H34</f>
        <v>0</v>
      </c>
      <c r="I45" s="2366">
        <f>'Part I-Project Information'!I34</f>
        <v>0</v>
      </c>
      <c r="J45" s="2366">
        <f>'Part I-Project Information'!J34</f>
        <v>0</v>
      </c>
      <c r="K45" s="2366">
        <f>'Part I-Project Information'!K34</f>
        <v>0</v>
      </c>
      <c r="L45" s="2358" t="s">
        <v>2207</v>
      </c>
      <c r="M45" s="2350"/>
      <c r="N45" s="2350"/>
      <c r="O45" s="2350" t="str">
        <f>'Part I-Project Information'!O34</f>
        <v>No</v>
      </c>
      <c r="P45" s="2350">
        <f>'Part I-Project Information'!P34</f>
        <v>0</v>
      </c>
    </row>
    <row r="46" spans="1:16">
      <c r="A46" s="2353"/>
      <c r="B46" s="2350" t="s">
        <v>2715</v>
      </c>
      <c r="C46" s="2350"/>
      <c r="D46" s="2361"/>
      <c r="E46" s="2350"/>
      <c r="F46" s="2350" t="str">
        <f>'Part I-Project Information'!F35</f>
        <v>8th Street SE</v>
      </c>
      <c r="G46" s="2350">
        <f>'Part I-Project Information'!G35</f>
        <v>0</v>
      </c>
      <c r="H46" s="2350">
        <f>'Part I-Project Information'!H35</f>
        <v>0</v>
      </c>
      <c r="I46" s="2350">
        <f>'Part I-Project Information'!I35</f>
        <v>0</v>
      </c>
      <c r="J46" s="2350">
        <f>'Part I-Project Information'!J35</f>
        <v>0</v>
      </c>
      <c r="K46" s="2350">
        <f>'Part I-Project Information'!K35</f>
        <v>0</v>
      </c>
      <c r="L46" s="2350" t="s">
        <v>3707</v>
      </c>
      <c r="M46" s="2350"/>
      <c r="N46" s="2350"/>
      <c r="O46" s="2350">
        <f>'Part I-Project Information'!O35</f>
        <v>0</v>
      </c>
      <c r="P46" s="2350">
        <f>'Part I-Project Information'!P35</f>
        <v>0</v>
      </c>
    </row>
    <row r="47" spans="1:16">
      <c r="A47" s="2353"/>
      <c r="B47" s="2350" t="s">
        <v>4710</v>
      </c>
      <c r="C47" s="2350"/>
      <c r="D47" s="2361"/>
      <c r="E47" s="2350"/>
      <c r="F47" s="2350" t="str">
        <f>'Part I-Project Information'!F36</f>
        <v>919 8th Street SE</v>
      </c>
      <c r="G47" s="2350">
        <f>'Part I-Project Information'!G36</f>
        <v>0</v>
      </c>
      <c r="H47" s="2350">
        <f>'Part I-Project Information'!H36</f>
        <v>0</v>
      </c>
      <c r="I47" s="2350">
        <f>'Part I-Project Information'!I36</f>
        <v>0</v>
      </c>
      <c r="J47" s="2350">
        <f>'Part I-Project Information'!J36</f>
        <v>0</v>
      </c>
      <c r="K47" s="2350">
        <f>'Part I-Project Information'!K36</f>
        <v>0</v>
      </c>
      <c r="L47" s="2358" t="s">
        <v>2065</v>
      </c>
      <c r="M47" s="2350"/>
      <c r="N47" s="2355" t="str">
        <f>'Part I-Project Information'!N36</f>
        <v>No</v>
      </c>
      <c r="O47" s="2355" t="s">
        <v>3706</v>
      </c>
      <c r="P47" s="2355">
        <f>'Part I-Project Information'!P36</f>
        <v>0</v>
      </c>
    </row>
    <row r="48" spans="1:16">
      <c r="A48" s="2353"/>
      <c r="B48" s="2350" t="s">
        <v>3763</v>
      </c>
      <c r="C48" s="2350"/>
      <c r="D48" s="2361"/>
      <c r="E48" s="2350"/>
      <c r="F48" s="2350" t="s">
        <v>3743</v>
      </c>
      <c r="G48" s="2373">
        <f>'Part I-Project Information'!G37</f>
        <v>31.169074999999999</v>
      </c>
      <c r="H48" s="2373">
        <f>'Part I-Project Information'!H37</f>
        <v>0</v>
      </c>
      <c r="I48" s="2355" t="s">
        <v>3744</v>
      </c>
      <c r="J48" s="2373">
        <f>'Part I-Project Information'!J37</f>
        <v>-83.779539</v>
      </c>
      <c r="K48" s="2373">
        <f>'Part I-Project Information'!K37</f>
        <v>0</v>
      </c>
      <c r="L48" s="2358" t="s">
        <v>2298</v>
      </c>
      <c r="M48" s="2350"/>
      <c r="N48" s="2350"/>
      <c r="O48" s="2374">
        <f>'Part I-Project Information'!O37</f>
        <v>8.23</v>
      </c>
      <c r="P48" s="2374">
        <f>'Part I-Project Information'!P37</f>
        <v>0</v>
      </c>
    </row>
    <row r="49" spans="1:16" ht="16.5">
      <c r="A49" s="2348"/>
      <c r="B49" s="2350" t="s">
        <v>624</v>
      </c>
      <c r="C49" s="2350"/>
      <c r="D49" s="2350"/>
      <c r="E49" s="2350"/>
      <c r="F49" s="2350" t="str">
        <f>'Part I-Project Information'!F38</f>
        <v>Moultrie</v>
      </c>
      <c r="G49" s="2350">
        <f>'Part I-Project Information'!G38</f>
        <v>0</v>
      </c>
      <c r="H49" s="2350">
        <f>'Part I-Project Information'!H38</f>
        <v>0</v>
      </c>
      <c r="I49" s="2375" t="s">
        <v>4711</v>
      </c>
      <c r="J49" s="2370">
        <f>'Part I-Project Information'!J38</f>
        <v>317686032</v>
      </c>
      <c r="K49" s="2370">
        <f>'Part I-Project Information'!K38</f>
        <v>0</v>
      </c>
      <c r="L49" s="2347" t="str">
        <f>IF(AND(NOT(F45=""),NOT(F49="Select from list"),J49=""),"Enter Zip!","")</f>
        <v/>
      </c>
      <c r="M49" s="2376" t="s">
        <v>2924</v>
      </c>
      <c r="N49" s="2350"/>
      <c r="O49" s="2377" t="str">
        <f>'Part I-Project Information'!O38</f>
        <v>13071970702</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Colquitt</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Yes</v>
      </c>
      <c r="G51" s="2350" t="s">
        <v>2798</v>
      </c>
      <c r="H51" s="2350"/>
      <c r="I51" s="2355" t="str">
        <f>'Part I-Project Information'!I40</f>
        <v>Yes</v>
      </c>
      <c r="J51" s="2355" t="s">
        <v>2818</v>
      </c>
      <c r="K51" s="2355" t="str">
        <f>'Part I-Project Information'!K40</f>
        <v>Rural</v>
      </c>
      <c r="L51" s="2350"/>
      <c r="M51" s="2358" t="s">
        <v>2627</v>
      </c>
      <c r="N51" s="2348" t="str">
        <f>'Part I-Project Information'!N40</f>
        <v>Non-MSA</v>
      </c>
      <c r="O51" s="2350" t="str">
        <f>'Part I-Project Information'!O40</f>
        <v>Colquitt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4712</v>
      </c>
      <c r="D53" s="2350"/>
      <c r="E53" s="2350"/>
      <c r="F53" s="2381" t="s">
        <v>2779</v>
      </c>
      <c r="G53" s="2381"/>
      <c r="H53" s="2350" t="s">
        <v>744</v>
      </c>
      <c r="I53" s="2350"/>
      <c r="J53" s="2350" t="s">
        <v>745</v>
      </c>
      <c r="K53" s="2350"/>
      <c r="L53" s="2382" t="s">
        <v>4542</v>
      </c>
      <c r="M53" s="2350"/>
      <c r="N53" s="2350"/>
      <c r="O53" s="2350"/>
      <c r="P53" s="2350"/>
    </row>
    <row r="54" spans="1:16">
      <c r="A54" s="2348"/>
      <c r="B54" s="2350" t="s">
        <v>4713</v>
      </c>
      <c r="C54" s="2350"/>
      <c r="D54" s="2347"/>
      <c r="E54" s="2350"/>
      <c r="F54" s="2383">
        <f>'Part I-Project Information'!F43</f>
        <v>8</v>
      </c>
      <c r="G54" s="2383">
        <f>'Part I-Project Information'!G43</f>
        <v>0</v>
      </c>
      <c r="H54" s="2383">
        <f>'Part I-Project Information'!H43</f>
        <v>11</v>
      </c>
      <c r="I54" s="2383">
        <f>'Part I-Project Information'!I43</f>
        <v>0</v>
      </c>
      <c r="J54" s="2383">
        <f>'Part I-Project Information'!J43</f>
        <v>172</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2777</v>
      </c>
      <c r="M55" s="2350"/>
      <c r="N55" s="2385" t="s">
        <v>2776</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Moultrie</v>
      </c>
      <c r="G57" s="2386">
        <f>'Part I-Project Information'!G46</f>
        <v>0</v>
      </c>
      <c r="H57" s="2386">
        <f>'Part I-Project Information'!H46</f>
        <v>0</v>
      </c>
      <c r="I57" s="2386">
        <f>'Part I-Project Information'!I46</f>
        <v>0</v>
      </c>
      <c r="J57" s="2386">
        <f>'Part I-Project Information'!J46</f>
        <v>0</v>
      </c>
      <c r="K57" s="2386">
        <f>'Part I-Project Information'!K46</f>
        <v>0</v>
      </c>
      <c r="L57" s="2387" t="s">
        <v>2721</v>
      </c>
      <c r="M57" s="2350" t="str">
        <f>'Part I-Project Information'!M46</f>
        <v>http://www.moultriega.com/</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William McLeod McIntosh</v>
      </c>
      <c r="G58" s="2386">
        <f>'Part I-Project Information'!G47</f>
        <v>0</v>
      </c>
      <c r="H58" s="2386">
        <f>'Part I-Project Information'!H47</f>
        <v>0</v>
      </c>
      <c r="I58" s="2355" t="s">
        <v>1995</v>
      </c>
      <c r="J58" s="2350" t="str">
        <f>'Part I-Project Information'!J47</f>
        <v>Mayor</v>
      </c>
      <c r="K58" s="2350">
        <f>'Part I-Project Information'!K47</f>
        <v>0</v>
      </c>
      <c r="L58" s="2387"/>
      <c r="M58" s="2350"/>
      <c r="N58" s="2350"/>
      <c r="O58" s="2350"/>
      <c r="P58" s="2350"/>
    </row>
    <row r="59" spans="1:16">
      <c r="A59" s="2348"/>
      <c r="B59" s="2350" t="s">
        <v>1996</v>
      </c>
      <c r="C59" s="2350"/>
      <c r="D59" s="2350"/>
      <c r="E59" s="2350"/>
      <c r="F59" s="2386" t="str">
        <f>'Part I-Project Information'!F48</f>
        <v>P.O.Box 3368</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Moultrie</v>
      </c>
      <c r="N59" s="2386">
        <f>'Part I-Project Information'!N48</f>
        <v>0</v>
      </c>
      <c r="O59" s="2386">
        <f>'Part I-Project Information'!O48</f>
        <v>0</v>
      </c>
      <c r="P59" s="2386">
        <f>'Part I-Project Information'!P48</f>
        <v>0</v>
      </c>
    </row>
    <row r="60" spans="1:16">
      <c r="A60" s="2348"/>
      <c r="B60" s="2358" t="s">
        <v>2244</v>
      </c>
      <c r="C60" s="2350"/>
      <c r="D60" s="2350"/>
      <c r="E60" s="2350"/>
      <c r="F60" s="2370">
        <f>'Part I-Project Information'!F49</f>
        <v>317760000</v>
      </c>
      <c r="G60" s="2370">
        <f>'Part I-Project Information'!G49</f>
        <v>0</v>
      </c>
      <c r="H60" s="2355" t="s">
        <v>1997</v>
      </c>
      <c r="I60" s="2371">
        <f>'Part I-Project Information'!I49</f>
        <v>2299855881</v>
      </c>
      <c r="J60" s="2371">
        <f>'Part I-Project Information'!J49</f>
        <v>0</v>
      </c>
      <c r="K60" s="2371">
        <f>'Part I-Project Information'!K49</f>
        <v>0</v>
      </c>
      <c r="L60" s="2358" t="s">
        <v>1813</v>
      </c>
      <c r="M60" s="2386" t="str">
        <f>'Part I-Project Information'!M49</f>
        <v>bmcintosh@moultrie.net</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1998</v>
      </c>
      <c r="C65" s="2347" t="s">
        <v>4714</v>
      </c>
      <c r="D65" s="2350"/>
      <c r="E65" s="2350"/>
      <c r="F65" s="2350"/>
      <c r="G65" s="2350"/>
      <c r="H65" s="2350"/>
      <c r="I65" s="2350"/>
      <c r="J65" s="2350"/>
      <c r="K65" s="2356"/>
      <c r="L65" s="2350"/>
      <c r="M65" s="2384"/>
      <c r="N65" s="2384"/>
      <c r="O65" s="2384"/>
      <c r="P65" s="2384"/>
    </row>
    <row r="66" spans="1:16" ht="13.5">
      <c r="A66" s="2357"/>
      <c r="B66" s="2348"/>
      <c r="C66" s="2350" t="s">
        <v>2310</v>
      </c>
      <c r="D66" s="2350"/>
      <c r="E66" s="2350"/>
      <c r="F66" s="2357"/>
      <c r="G66" s="2357"/>
      <c r="H66" s="2390">
        <f>'Part VI-Revenues &amp; Expenses'!$O$74</f>
        <v>50</v>
      </c>
      <c r="I66" s="2357"/>
      <c r="J66" s="2357"/>
      <c r="K66" s="2358" t="s">
        <v>3698</v>
      </c>
      <c r="L66" s="2350"/>
      <c r="M66" s="2391" t="s">
        <v>3697</v>
      </c>
      <c r="N66" s="2390">
        <f>'Part VI-Revenues &amp; Expenses'!$O$81</f>
        <v>0</v>
      </c>
      <c r="O66" s="2392" t="s">
        <v>3377</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2929</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2000</v>
      </c>
      <c r="C70" s="2347" t="s">
        <v>2311</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2291</v>
      </c>
      <c r="D72" s="2350"/>
      <c r="E72" s="2350"/>
      <c r="F72" s="2350"/>
      <c r="G72" s="2350"/>
      <c r="H72" s="2350"/>
      <c r="I72" s="2397" t="s">
        <v>3587</v>
      </c>
      <c r="J72" s="2353" t="s">
        <v>2130</v>
      </c>
      <c r="K72" s="2398" t="s">
        <v>2317</v>
      </c>
      <c r="L72" s="2350"/>
      <c r="M72" s="2350"/>
      <c r="N72" s="2350"/>
      <c r="O72" s="2350"/>
      <c r="P72" s="2355"/>
    </row>
    <row r="73" spans="1:16">
      <c r="A73" s="2348"/>
      <c r="B73" s="2369"/>
      <c r="C73" s="2357" t="s">
        <v>2292</v>
      </c>
      <c r="D73" s="2350"/>
      <c r="E73" s="2350"/>
      <c r="F73" s="2350"/>
      <c r="G73" s="2350"/>
      <c r="H73" s="2399">
        <f>SUM(H74:H75)</f>
        <v>50</v>
      </c>
      <c r="I73" s="2399">
        <f>SUM(I74:I75)</f>
        <v>0</v>
      </c>
      <c r="J73" s="2348"/>
      <c r="K73" s="2357" t="s">
        <v>2790</v>
      </c>
      <c r="L73" s="2350"/>
      <c r="M73" s="2350"/>
      <c r="N73" s="2350"/>
      <c r="O73" s="2350"/>
      <c r="P73" s="2399">
        <f>'Part VI-Revenues &amp; Expenses'!$O$115</f>
        <v>54700</v>
      </c>
    </row>
    <row r="74" spans="1:16">
      <c r="A74" s="2348"/>
      <c r="B74" s="2357"/>
      <c r="C74" s="2350"/>
      <c r="D74" s="2381" t="s">
        <v>387</v>
      </c>
      <c r="E74" s="2350"/>
      <c r="F74" s="2350"/>
      <c r="G74" s="2350"/>
      <c r="H74" s="2399">
        <f>'Part VI-Revenues &amp; Expenses'!$O$57</f>
        <v>10</v>
      </c>
      <c r="I74" s="2399">
        <f>'Part VI-Revenues &amp; Expenses'!$O$65</f>
        <v>0</v>
      </c>
      <c r="J74" s="2350"/>
      <c r="K74" s="2357" t="s">
        <v>2791</v>
      </c>
      <c r="L74" s="2350"/>
      <c r="M74" s="2350"/>
      <c r="N74" s="2350"/>
      <c r="O74" s="2350"/>
      <c r="P74" s="2399">
        <f>'Part VI-Revenues &amp; Expenses'!$O$116</f>
        <v>0</v>
      </c>
    </row>
    <row r="75" spans="1:16">
      <c r="A75" s="2348"/>
      <c r="B75" s="2350"/>
      <c r="C75" s="2350"/>
      <c r="D75" s="2381" t="s">
        <v>1834</v>
      </c>
      <c r="E75" s="2381"/>
      <c r="F75" s="2350"/>
      <c r="G75" s="2350"/>
      <c r="H75" s="2399">
        <f>'Part VI-Revenues &amp; Expenses'!$O$56</f>
        <v>40</v>
      </c>
      <c r="I75" s="2399">
        <f>'Part VI-Revenues &amp; Expenses'!$O$64</f>
        <v>0</v>
      </c>
      <c r="J75" s="2350"/>
      <c r="K75" s="2357" t="s">
        <v>2792</v>
      </c>
      <c r="L75" s="2350"/>
      <c r="M75" s="2350"/>
      <c r="N75" s="2350"/>
      <c r="O75" s="2350"/>
      <c r="P75" s="2399">
        <f>P73+P74</f>
        <v>54700</v>
      </c>
    </row>
    <row r="76" spans="1:16">
      <c r="A76" s="2348"/>
      <c r="B76" s="2350"/>
      <c r="C76" s="2357" t="s">
        <v>255</v>
      </c>
      <c r="D76" s="2350"/>
      <c r="E76" s="2350"/>
      <c r="F76" s="2350"/>
      <c r="G76" s="2350"/>
      <c r="H76" s="2399">
        <f>'Part VI-Revenues &amp; Expenses'!$O$59</f>
        <v>0</v>
      </c>
      <c r="I76" s="2350"/>
      <c r="J76" s="2348"/>
      <c r="K76" s="2357" t="s">
        <v>2793</v>
      </c>
      <c r="L76" s="2350"/>
      <c r="M76" s="2350"/>
      <c r="N76" s="2350"/>
      <c r="O76" s="2350"/>
      <c r="P76" s="2399">
        <f>'Part VI-Revenues &amp; Expenses'!$O$118</f>
        <v>0</v>
      </c>
    </row>
    <row r="77" spans="1:16">
      <c r="A77" s="2348"/>
      <c r="B77" s="2350"/>
      <c r="C77" s="2357" t="s">
        <v>2422</v>
      </c>
      <c r="D77" s="2350"/>
      <c r="E77" s="2350"/>
      <c r="F77" s="2350"/>
      <c r="G77" s="2350"/>
      <c r="H77" s="2399">
        <f>H73+H76</f>
        <v>50</v>
      </c>
      <c r="I77" s="2350"/>
      <c r="J77" s="2348"/>
      <c r="K77" s="2357" t="s">
        <v>1432</v>
      </c>
      <c r="L77" s="2350"/>
      <c r="M77" s="2350"/>
      <c r="N77" s="2350"/>
      <c r="O77" s="2350"/>
      <c r="P77" s="2399">
        <f>+P75+P76</f>
        <v>54700</v>
      </c>
    </row>
    <row r="78" spans="1:16">
      <c r="A78" s="2348"/>
      <c r="B78" s="2350"/>
      <c r="C78" s="2357" t="s">
        <v>2423</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50</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2312</v>
      </c>
      <c r="D81" s="2381" t="s">
        <v>2011</v>
      </c>
      <c r="E81" s="2350"/>
      <c r="F81" s="2350"/>
      <c r="G81" s="2350"/>
      <c r="H81" s="2399">
        <f>'Part I-Project Information'!H70</f>
        <v>7</v>
      </c>
      <c r="I81" s="2350"/>
      <c r="J81" s="2350"/>
      <c r="K81" s="2357" t="s">
        <v>4100</v>
      </c>
      <c r="L81" s="2350"/>
      <c r="M81" s="2350"/>
      <c r="N81" s="2350"/>
      <c r="O81" s="2350"/>
      <c r="P81" s="2399">
        <f>'Part I-Project Information'!P70</f>
        <v>2000</v>
      </c>
    </row>
    <row r="82" spans="1:16">
      <c r="A82" s="2348"/>
      <c r="B82" s="2348"/>
      <c r="C82" s="2350"/>
      <c r="D82" s="2369" t="s">
        <v>2012</v>
      </c>
      <c r="E82" s="2350"/>
      <c r="F82" s="2350"/>
      <c r="G82" s="2350"/>
      <c r="H82" s="2399">
        <f>'Part I-Project Information'!H71</f>
        <v>1</v>
      </c>
      <c r="I82" s="2350"/>
      <c r="J82" s="2350"/>
      <c r="K82" s="2357" t="s">
        <v>254</v>
      </c>
      <c r="L82" s="2350"/>
      <c r="M82" s="2350"/>
      <c r="N82" s="2350"/>
      <c r="O82" s="2350"/>
      <c r="P82" s="2399">
        <f>+P77+P81</f>
        <v>56700</v>
      </c>
    </row>
    <row r="83" spans="1:16">
      <c r="A83" s="2348"/>
      <c r="B83" s="2348"/>
      <c r="C83" s="2350"/>
      <c r="D83" s="2369" t="s">
        <v>2013</v>
      </c>
      <c r="E83" s="2350"/>
      <c r="F83" s="2350"/>
      <c r="G83" s="2350"/>
      <c r="H83" s="2399">
        <f>+H81+H82</f>
        <v>8</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2859</v>
      </c>
      <c r="D85" s="2350"/>
      <c r="E85" s="2350"/>
      <c r="F85" s="2350"/>
      <c r="G85" s="2350"/>
      <c r="H85" s="2399">
        <f>'Part I-Project Information'!H74</f>
        <v>100</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1998</v>
      </c>
      <c r="C89" s="2351" t="s">
        <v>4715</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3904</v>
      </c>
      <c r="I91" s="2346"/>
      <c r="J91" s="2350"/>
      <c r="K91" s="2402" t="s">
        <v>2930</v>
      </c>
      <c r="L91" s="2399">
        <f>'Part I-Project Information'!L80</f>
        <v>50</v>
      </c>
      <c r="M91" s="2402" t="s">
        <v>2931</v>
      </c>
      <c r="N91" s="2399">
        <f>'Part I-Project Information'!N80</f>
        <v>0</v>
      </c>
      <c r="O91" s="2350"/>
      <c r="P91" s="2361" t="s">
        <v>3906</v>
      </c>
    </row>
    <row r="92" spans="1:16">
      <c r="A92" s="2348"/>
      <c r="B92" s="2348"/>
      <c r="C92" s="2350"/>
      <c r="D92" s="2358"/>
      <c r="E92" s="2401"/>
      <c r="F92" s="2350"/>
      <c r="G92" s="2350"/>
      <c r="H92" s="2346"/>
      <c r="I92" s="2346"/>
      <c r="J92" s="2350"/>
      <c r="K92" s="2361" t="s">
        <v>2932</v>
      </c>
      <c r="L92" s="2399">
        <f>'Part I-Project Information'!L81</f>
        <v>0</v>
      </c>
      <c r="M92" s="2361" t="s">
        <v>3905</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2000</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0.06</v>
      </c>
      <c r="O94" s="2361" t="s">
        <v>3721</v>
      </c>
      <c r="P94" s="2404">
        <f>'DCA Underwriting Assumptions'!$Q$136</f>
        <v>0.05</v>
      </c>
    </row>
    <row r="95" spans="1:16">
      <c r="A95" s="2348"/>
      <c r="B95" s="2348"/>
      <c r="C95" s="2350"/>
      <c r="D95" s="2369" t="s">
        <v>2857</v>
      </c>
      <c r="E95" s="2369"/>
      <c r="F95" s="2369" t="s">
        <v>804</v>
      </c>
      <c r="G95" s="2350"/>
      <c r="H95" s="2399">
        <f>'Part VIII-Threshold Criteria'!K302</f>
        <v>0</v>
      </c>
      <c r="I95" s="2350"/>
      <c r="J95" s="2350"/>
      <c r="K95" s="2350" t="s">
        <v>2858</v>
      </c>
      <c r="L95" s="2350"/>
      <c r="M95" s="2350"/>
      <c r="N95" s="2403">
        <f>IF(H94=0,0,H95/H94)</f>
        <v>0</v>
      </c>
      <c r="O95" s="2361" t="s">
        <v>3721</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1857</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3721</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2392</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1998</v>
      </c>
      <c r="C101" s="2351" t="s">
        <v>2391</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2000</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2056</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1998</v>
      </c>
      <c r="C107" s="2347" t="s">
        <v>2725</v>
      </c>
      <c r="D107" s="2350"/>
      <c r="E107" s="2350"/>
      <c r="F107" s="2381" t="s">
        <v>2616</v>
      </c>
      <c r="G107" s="2350"/>
      <c r="H107" s="2355" t="str">
        <f>'Part I-Project Information'!H96</f>
        <v>No</v>
      </c>
      <c r="I107" s="2350"/>
      <c r="J107" s="2350"/>
      <c r="K107" s="2381" t="s">
        <v>3928</v>
      </c>
      <c r="L107" s="2355" t="str">
        <f>'Part I-Project Information'!L96</f>
        <v>No</v>
      </c>
      <c r="M107" s="2350"/>
      <c r="N107" s="2350"/>
      <c r="O107" s="2361" t="s">
        <v>3922</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2000</v>
      </c>
      <c r="C109" s="2347" t="s">
        <v>2726</v>
      </c>
      <c r="D109" s="2350"/>
      <c r="E109" s="2350"/>
      <c r="F109" s="2358" t="s">
        <v>2695</v>
      </c>
      <c r="G109" s="2350"/>
      <c r="H109" s="2355" t="str">
        <f>'Part I-Project Information'!H98</f>
        <v>No</v>
      </c>
      <c r="I109" s="2406" t="s">
        <v>2727</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2800</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2244</v>
      </c>
      <c r="K117" s="2370"/>
      <c r="L117" s="2381"/>
      <c r="M117" s="2357" t="s">
        <v>3688</v>
      </c>
      <c r="N117" s="2357"/>
      <c r="O117" s="2408">
        <f>'Part I-Project Information'!O106</f>
        <v>0</v>
      </c>
      <c r="P117" s="2408">
        <f>'Part I-Project Information'!P106</f>
        <v>0</v>
      </c>
    </row>
    <row r="118" spans="1:16">
      <c r="A118" s="2350"/>
      <c r="B118" s="2350"/>
      <c r="C118" s="2350" t="s">
        <v>2209</v>
      </c>
      <c r="D118" s="2350"/>
      <c r="E118" s="2350">
        <f>'Part I-Project Information'!E107</f>
        <v>0</v>
      </c>
      <c r="F118" s="2381">
        <f>'Part I-Project Information'!F107</f>
        <v>0</v>
      </c>
      <c r="G118" s="2381">
        <f>'Part I-Project Information'!G107</f>
        <v>0</v>
      </c>
      <c r="H118" s="2355" t="s">
        <v>1995</v>
      </c>
      <c r="I118" s="2350">
        <f>'Part I-Project Information'!I107</f>
        <v>0</v>
      </c>
      <c r="J118" s="2381">
        <f>'Part I-Project Information'!J107</f>
        <v>0</v>
      </c>
      <c r="K118" s="2381">
        <f>'Part I-Project Information'!K107</f>
        <v>0</v>
      </c>
      <c r="L118" s="2355" t="s">
        <v>1999</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2208</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2721</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2168</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1998</v>
      </c>
      <c r="C125" s="2401" t="s">
        <v>1424</v>
      </c>
      <c r="D125" s="2369"/>
      <c r="E125" s="2369"/>
      <c r="F125" s="2355"/>
      <c r="G125" s="2355"/>
      <c r="H125" s="2375">
        <f>'Part I-Project Information'!H114</f>
        <v>1</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2000</v>
      </c>
      <c r="C127" s="2401" t="s">
        <v>418</v>
      </c>
      <c r="D127" s="2369"/>
      <c r="E127" s="2369"/>
      <c r="F127" s="2355"/>
      <c r="G127" s="2355"/>
      <c r="H127" s="2410">
        <f>'Part I-Project Information'!H116</f>
        <v>850000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2150</v>
      </c>
      <c r="D130" s="2369"/>
      <c r="E130" s="2350"/>
      <c r="F130" s="2369" t="s">
        <v>1144</v>
      </c>
      <c r="G130" s="2355"/>
      <c r="H130" s="2355"/>
      <c r="I130" s="2355" t="s">
        <v>1306</v>
      </c>
      <c r="J130" s="2369" t="s">
        <v>2150</v>
      </c>
      <c r="K130" s="2369"/>
      <c r="L130" s="2350"/>
      <c r="M130" s="2369" t="s">
        <v>1144</v>
      </c>
      <c r="N130" s="2355"/>
      <c r="O130" s="2355"/>
      <c r="P130" s="2355" t="s">
        <v>1306</v>
      </c>
    </row>
    <row r="131" spans="1:16" ht="13.5">
      <c r="A131" s="2348"/>
      <c r="B131" s="2348"/>
      <c r="C131" s="2362" t="str">
        <f>'Part I-Project Information'!C120</f>
        <v>Deion Lowery</v>
      </c>
      <c r="D131" s="2362">
        <f>'Part I-Project Information'!D120</f>
        <v>0</v>
      </c>
      <c r="E131" s="2362">
        <f>'Part I-Project Information'!E120</f>
        <v>0</v>
      </c>
      <c r="F131" s="2362" t="str">
        <f>'Part I-Project Information'!F120</f>
        <v>Sparrow Pointe at Forest Hill</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f>'Part I-Project Information'!C121</f>
        <v>2</v>
      </c>
      <c r="D132" s="2362">
        <f>'Part I-Project Information'!D121</f>
        <v>0</v>
      </c>
      <c r="E132" s="2362">
        <f>'Part I-Project Information'!E121</f>
        <v>0</v>
      </c>
      <c r="F132" s="2362">
        <f>'Part I-Project Information'!F121</f>
        <v>0</v>
      </c>
      <c r="G132" s="2362">
        <f>'Part I-Project Information'!G121</f>
        <v>0</v>
      </c>
      <c r="H132" s="2362">
        <f>'Part I-Project Information'!H121</f>
        <v>0</v>
      </c>
      <c r="I132" s="2362">
        <f>'Part I-Project Information'!I121</f>
        <v>0</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2130</v>
      </c>
      <c r="C138" s="2411" t="s">
        <v>1860</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2150</v>
      </c>
      <c r="D140" s="2369"/>
      <c r="E140" s="2350"/>
      <c r="F140" s="2369" t="s">
        <v>1144</v>
      </c>
      <c r="G140" s="2355"/>
      <c r="H140" s="2355"/>
      <c r="I140" s="2355"/>
      <c r="J140" s="2369" t="s">
        <v>2150</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2433</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1998</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2435</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2436</v>
      </c>
      <c r="D154" s="2369"/>
      <c r="E154" s="2369"/>
      <c r="F154" s="2355"/>
      <c r="G154" s="2350"/>
      <c r="H154" s="2350"/>
      <c r="I154" s="2355">
        <f>'Part I-Project Information'!I143</f>
        <v>0</v>
      </c>
      <c r="J154" s="2350"/>
      <c r="K154" s="2357" t="s">
        <v>2260</v>
      </c>
      <c r="L154" s="2350"/>
      <c r="M154" s="2350"/>
      <c r="N154" s="2350"/>
      <c r="O154" s="2350" t="str">
        <f>'Part I-Project Information'!O143</f>
        <v>GA-</v>
      </c>
      <c r="P154" s="2350">
        <f>'Part I-Project Information'!P143</f>
        <v>0</v>
      </c>
    </row>
    <row r="155" spans="1:16">
      <c r="A155" s="2348"/>
      <c r="B155" s="2348"/>
      <c r="C155" s="2369" t="s">
        <v>2434</v>
      </c>
      <c r="D155" s="2350"/>
      <c r="E155" s="2350"/>
      <c r="F155" s="2355"/>
      <c r="G155" s="2350"/>
      <c r="H155" s="2350"/>
      <c r="I155" s="2355">
        <f>'Part I-Project Information'!I144</f>
        <v>0</v>
      </c>
      <c r="J155" s="2350"/>
      <c r="K155" s="2357" t="s">
        <v>2261</v>
      </c>
      <c r="L155" s="2350"/>
      <c r="M155" s="2350"/>
      <c r="N155" s="2350"/>
      <c r="O155" s="2350" t="str">
        <f>'Part I-Project Information'!O144</f>
        <v>GA-</v>
      </c>
      <c r="P155" s="2350">
        <f>'Part I-Project Information'!P144</f>
        <v>0</v>
      </c>
    </row>
    <row r="156" spans="1:16">
      <c r="A156" s="2348"/>
      <c r="B156" s="2348"/>
      <c r="C156" s="2369" t="s">
        <v>2181</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2000</v>
      </c>
      <c r="C158" s="2401" t="s">
        <v>2505</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2718</v>
      </c>
      <c r="D160" s="2369"/>
      <c r="E160" s="2369"/>
      <c r="F160" s="2355"/>
      <c r="G160" s="2355"/>
      <c r="H160" s="2350"/>
      <c r="I160" s="2350"/>
      <c r="J160" s="2350"/>
      <c r="K160" s="2350"/>
      <c r="L160" s="2350"/>
      <c r="M160" s="2350"/>
      <c r="N160" s="2350"/>
      <c r="O160" s="2350"/>
      <c r="P160" s="2372"/>
    </row>
    <row r="161" spans="1:16">
      <c r="A161" s="2348"/>
      <c r="B161" s="2348"/>
      <c r="C161" s="2369" t="s">
        <v>4716</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1998</v>
      </c>
      <c r="C165" s="2388" t="s">
        <v>1835</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4717</v>
      </c>
      <c r="D168" s="2350"/>
      <c r="E168" s="2350"/>
      <c r="F168" s="2350"/>
      <c r="G168" s="2350"/>
      <c r="H168" s="2399">
        <f>'Part I-Project Information'!H157</f>
        <v>0</v>
      </c>
      <c r="I168" s="2356"/>
      <c r="J168" s="2414" t="s">
        <v>3752</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2244</v>
      </c>
      <c r="J171" s="2370">
        <f>'Part I-Project Information'!J160</f>
        <v>0</v>
      </c>
      <c r="K171" s="2370">
        <f>'Part I-Project Information'!K160</f>
        <v>0</v>
      </c>
      <c r="L171" s="2358" t="s">
        <v>1994</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2000</v>
      </c>
      <c r="C174" s="2401" t="s">
        <v>2719</v>
      </c>
      <c r="D174" s="2401"/>
      <c r="E174" s="2401"/>
      <c r="F174" s="2401"/>
      <c r="G174" s="2401"/>
      <c r="H174" s="2350"/>
      <c r="I174" s="2375" t="str">
        <f>'Part I-Project Information'!I163</f>
        <v>No</v>
      </c>
      <c r="J174" s="2381" t="s">
        <v>769</v>
      </c>
      <c r="K174" s="2381"/>
      <c r="L174" s="2375">
        <f>'Part I-Project Information'!L163</f>
        <v>0</v>
      </c>
      <c r="M174" s="2350" t="s">
        <v>2341</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2720</v>
      </c>
      <c r="D176" s="2401"/>
      <c r="E176" s="2401"/>
      <c r="F176" s="2401"/>
      <c r="G176" s="2401"/>
      <c r="H176" s="2350"/>
      <c r="I176" s="2375" t="str">
        <f>'Part I-Project Information'!I165</f>
        <v>Yes</v>
      </c>
      <c r="J176" s="2381" t="s">
        <v>769</v>
      </c>
      <c r="K176" s="2381"/>
      <c r="L176" s="2375">
        <f>'Part I-Project Information'!L165</f>
        <v>2040</v>
      </c>
      <c r="M176" s="2350" t="s">
        <v>2341</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2130</v>
      </c>
      <c r="C180" s="2400" t="s">
        <v>1993</v>
      </c>
      <c r="D180" s="2400"/>
      <c r="E180" s="2400"/>
      <c r="F180" s="2400"/>
      <c r="G180" s="2401"/>
      <c r="H180" s="2350"/>
      <c r="I180" s="2375" t="str">
        <f>'Part I-Project Information'!I169</f>
        <v>No</v>
      </c>
      <c r="J180" s="2417" t="s">
        <v>2770</v>
      </c>
      <c r="K180" s="2350"/>
      <c r="L180" s="2381" t="s">
        <v>4718</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2227</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2228</v>
      </c>
      <c r="D185" s="2350"/>
      <c r="E185" s="2350"/>
      <c r="F185" s="2350"/>
      <c r="G185" s="2350"/>
      <c r="H185" s="2350"/>
      <c r="I185" s="2375" t="str">
        <f>'Part I-Project Information'!I174</f>
        <v>No</v>
      </c>
      <c r="J185" s="2350"/>
      <c r="K185" s="2350"/>
      <c r="L185" s="2350" t="s">
        <v>2862</v>
      </c>
      <c r="M185" s="2350"/>
      <c r="N185" s="2350"/>
      <c r="O185" s="2350"/>
      <c r="P185" s="2375" t="str">
        <f>'Part I-Project Information'!P174</f>
        <v>No</v>
      </c>
    </row>
    <row r="186" spans="1:16" ht="13.5">
      <c r="A186" s="2348"/>
      <c r="B186" s="2350"/>
      <c r="C186" s="2350" t="s">
        <v>2739</v>
      </c>
      <c r="D186" s="2350"/>
      <c r="E186" s="2350"/>
      <c r="F186" s="2350"/>
      <c r="G186" s="2350"/>
      <c r="H186" s="2350"/>
      <c r="I186" s="2375" t="str">
        <f>'Part I-Project Information'!I175</f>
        <v>No</v>
      </c>
      <c r="J186" s="2350"/>
      <c r="K186" s="2350"/>
      <c r="L186" s="2350" t="s">
        <v>2706</v>
      </c>
      <c r="M186" s="2350"/>
      <c r="N186" s="2419">
        <f>'Part I-Project Information'!N175</f>
        <v>0</v>
      </c>
      <c r="O186" s="2419">
        <f>'Part I-Project Information'!O175</f>
        <v>0</v>
      </c>
      <c r="P186" s="2375">
        <f>'Part I-Project Information'!P175</f>
        <v>0</v>
      </c>
    </row>
    <row r="187" spans="1:16" ht="13.5">
      <c r="A187" s="2348"/>
      <c r="B187" s="2348"/>
      <c r="C187" s="2350" t="s">
        <v>1297</v>
      </c>
      <c r="D187" s="2420"/>
      <c r="E187" s="2350"/>
      <c r="F187" s="2350"/>
      <c r="G187" s="2350"/>
      <c r="H187" s="2350"/>
      <c r="I187" s="2375" t="str">
        <f>'Part I-Project Information'!I176</f>
        <v>No</v>
      </c>
      <c r="J187" s="2350"/>
      <c r="K187" s="2347"/>
      <c r="L187" s="2350" t="s">
        <v>3504</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2771</v>
      </c>
      <c r="K188" s="2350"/>
      <c r="L188" s="2350"/>
      <c r="M188" s="2350"/>
      <c r="N188" s="2350"/>
      <c r="O188" s="2421">
        <f>'Part I-Project Information'!O177</f>
        <v>0</v>
      </c>
      <c r="P188" s="2421">
        <f>'Part I-Project Information'!P177</f>
        <v>0</v>
      </c>
    </row>
    <row r="189" spans="1:16">
      <c r="A189" s="2348"/>
      <c r="B189" s="2348"/>
      <c r="C189" s="2350" t="s">
        <v>2920</v>
      </c>
      <c r="D189" s="2350"/>
      <c r="E189" s="2350"/>
      <c r="F189" s="2350"/>
      <c r="G189" s="2350"/>
      <c r="H189" s="2350"/>
      <c r="I189" s="2375" t="str">
        <f>'Part I-Project Information'!I178</f>
        <v>No</v>
      </c>
      <c r="J189" s="2417" t="s">
        <v>2771</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2310</v>
      </c>
      <c r="D194" s="2369"/>
      <c r="E194" s="2369"/>
      <c r="F194" s="2355"/>
      <c r="G194" s="2355"/>
      <c r="H194" s="2407">
        <f>'Part I-Project Information'!H183</f>
        <v>44013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2799</v>
      </c>
      <c r="B196" s="2400"/>
      <c r="C196" s="2398" t="s">
        <v>577</v>
      </c>
      <c r="D196" s="2357"/>
      <c r="E196" s="2357"/>
      <c r="F196" s="2357"/>
      <c r="G196" s="2357"/>
      <c r="H196" s="2357"/>
      <c r="I196" s="2357"/>
      <c r="J196" s="2357"/>
      <c r="K196" s="2357"/>
      <c r="L196" s="2357"/>
      <c r="M196" s="2398" t="s">
        <v>2266</v>
      </c>
      <c r="N196" s="2398" t="s">
        <v>80</v>
      </c>
      <c r="O196" s="2357"/>
      <c r="P196" s="2357"/>
    </row>
    <row r="197" spans="1:19" ht="12.75" customHeight="1">
      <c r="A197" s="2422">
        <f>'Part I-Project Information'!A186</f>
        <v>0</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2018-030 Sparrow Pointe at Forest Hill,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4518</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1871</v>
      </c>
      <c r="C206" s="2351"/>
      <c r="D206" s="2350"/>
      <c r="E206" s="2351"/>
      <c r="F206" s="2351"/>
      <c r="G206" s="2351"/>
      <c r="H206" s="2352" t="s">
        <v>4315</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1998</v>
      </c>
      <c r="C208" s="2351" t="s">
        <v>1867</v>
      </c>
      <c r="D208" s="2350"/>
      <c r="E208" s="2350"/>
      <c r="F208" s="2350"/>
      <c r="G208" s="2350"/>
      <c r="H208" s="2350" t="str">
        <f>'Part II-Development Team'!H5</f>
        <v>Sparrow Pointe Housing,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2004</v>
      </c>
      <c r="P208" s="2358"/>
      <c r="Q208" s="2350" t="str">
        <f>'Part II-Development Team'!Q5</f>
        <v>Deion Lowery</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1631 E. Vine Street, Suite 300</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Principal</v>
      </c>
      <c r="R209" s="2350">
        <f>'Part II-Development Team'!R6</f>
        <v>0</v>
      </c>
      <c r="S209" s="2350">
        <f>'Part II-Development Team'!S6</f>
        <v>0</v>
      </c>
    </row>
    <row r="210" spans="1:19">
      <c r="A210" s="2350"/>
      <c r="B210" s="2350"/>
      <c r="C210" s="2350"/>
      <c r="D210" s="2423"/>
      <c r="E210" s="2358" t="s">
        <v>624</v>
      </c>
      <c r="F210" s="2350"/>
      <c r="G210" s="2350"/>
      <c r="H210" s="2350" t="str">
        <f>'Part II-Development Team'!H7</f>
        <v>Kissimmee</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9046196215</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FL</v>
      </c>
      <c r="I211" s="2355" t="s">
        <v>2244</v>
      </c>
      <c r="J211" s="2370">
        <f>'Part II-Development Team'!J8</f>
        <v>347440000</v>
      </c>
      <c r="K211" s="2370">
        <f>'Part II-Development Team'!K8</f>
        <v>0</v>
      </c>
      <c r="L211" s="2350" t="s">
        <v>3713</v>
      </c>
      <c r="M211" s="2350" t="str">
        <f>'Part II-Development Team'!M8</f>
        <v>For Profit</v>
      </c>
      <c r="N211" s="2350">
        <f>'Part II-Development Team'!N8</f>
        <v>0</v>
      </c>
      <c r="O211" s="2358" t="s">
        <v>1994</v>
      </c>
      <c r="P211" s="2350"/>
      <c r="Q211" s="2371">
        <f>'Part II-Development Team'!Q8</f>
        <v>0</v>
      </c>
      <c r="R211" s="2371">
        <f>'Part II-Development Team'!R8</f>
        <v>0</v>
      </c>
      <c r="S211" s="2371">
        <f>'Part II-Development Team'!S8</f>
        <v>0</v>
      </c>
    </row>
    <row r="212" spans="1:19">
      <c r="A212" s="2350"/>
      <c r="B212" s="2350"/>
      <c r="C212" s="2350"/>
      <c r="D212" s="2423"/>
      <c r="E212" s="2358" t="s">
        <v>4316</v>
      </c>
      <c r="F212" s="2350"/>
      <c r="G212" s="2350"/>
      <c r="H212" s="2371">
        <f>'Part II-Development Team'!H9</f>
        <v>9046196215</v>
      </c>
      <c r="I212" s="2371">
        <f>'Part II-Development Team'!I9</f>
        <v>0</v>
      </c>
      <c r="J212" s="2375">
        <f>'Part II-Development Team'!J9</f>
        <v>0</v>
      </c>
      <c r="K212" s="2355" t="s">
        <v>1999</v>
      </c>
      <c r="L212" s="2366" t="str">
        <f>'Part II-Development Team'!L9</f>
        <v>lisa.lacock@birdsonghousing.com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4315</v>
      </c>
      <c r="F213" s="2350"/>
      <c r="G213" s="2350"/>
      <c r="H213" s="2415"/>
      <c r="I213" s="2350"/>
      <c r="J213" s="2350"/>
      <c r="K213" s="2362"/>
      <c r="L213" s="2350"/>
      <c r="M213" s="2350"/>
      <c r="N213" s="2347" t="s">
        <v>4543</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2000</v>
      </c>
      <c r="C215" s="2351" t="s">
        <v>1868</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2001</v>
      </c>
      <c r="D216" s="2400" t="s">
        <v>2002</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2131</v>
      </c>
      <c r="E217" s="2350" t="s">
        <v>1869</v>
      </c>
      <c r="F217" s="2350"/>
      <c r="G217" s="2350"/>
      <c r="H217" s="2350" t="str">
        <f>'Part II-Development Team'!H14</f>
        <v>Sparrow Pointe Housing GP,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2004</v>
      </c>
      <c r="P217" s="2358"/>
      <c r="Q217" s="2350" t="str">
        <f>'Part II-Development Team'!Q14</f>
        <v>Deion Lowery</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1631 E. Vine Street, Suite 300</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Principal</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Kissimmee</v>
      </c>
      <c r="I219" s="2350">
        <f>'Part II-Development Team'!I16</f>
        <v>0</v>
      </c>
      <c r="J219" s="2350">
        <f>'Part II-Development Team'!J16</f>
        <v>0</v>
      </c>
      <c r="K219" s="2355" t="s">
        <v>2721</v>
      </c>
      <c r="L219" s="2350">
        <f>'Part II-Development Team'!L16</f>
        <v>0</v>
      </c>
      <c r="M219" s="2350">
        <f>'Part II-Development Team'!M16</f>
        <v>0</v>
      </c>
      <c r="N219" s="2350">
        <f>'Part II-Development Team'!N16</f>
        <v>0</v>
      </c>
      <c r="O219" s="2358" t="s">
        <v>1734</v>
      </c>
      <c r="P219" s="2350"/>
      <c r="Q219" s="2371">
        <f>'Part II-Development Team'!Q16</f>
        <v>9046196215</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FL</v>
      </c>
      <c r="I220" s="2350"/>
      <c r="J220" s="2350"/>
      <c r="K220" s="2355" t="s">
        <v>2244</v>
      </c>
      <c r="L220" s="2370">
        <f>'Part II-Development Team'!L17</f>
        <v>347440000</v>
      </c>
      <c r="M220" s="2370">
        <f>'Part II-Development Team'!M17</f>
        <v>0</v>
      </c>
      <c r="N220" s="2350"/>
      <c r="O220" s="2358" t="s">
        <v>1994</v>
      </c>
      <c r="P220" s="2350"/>
      <c r="Q220" s="2371">
        <f>'Part II-Development Team'!Q17</f>
        <v>0</v>
      </c>
      <c r="R220" s="2371">
        <f>'Part II-Development Team'!R17</f>
        <v>0</v>
      </c>
      <c r="S220" s="2371">
        <f>'Part II-Development Team'!S17</f>
        <v>0</v>
      </c>
    </row>
    <row r="221" spans="1:19">
      <c r="A221" s="2350"/>
      <c r="B221" s="2350"/>
      <c r="C221" s="2350"/>
      <c r="D221" s="2423"/>
      <c r="E221" s="2358" t="s">
        <v>4316</v>
      </c>
      <c r="F221" s="2350"/>
      <c r="G221" s="2350"/>
      <c r="H221" s="2371">
        <f>'Part II-Development Team'!H18</f>
        <v>9046196215</v>
      </c>
      <c r="I221" s="2371">
        <f>'Part II-Development Team'!I18</f>
        <v>0</v>
      </c>
      <c r="J221" s="2375">
        <f>'Part II-Development Team'!J18</f>
        <v>0</v>
      </c>
      <c r="K221" s="2355" t="s">
        <v>1999</v>
      </c>
      <c r="L221" s="2366" t="str">
        <f>'Part II-Development Team'!L18</f>
        <v>lisa.lacock@birdsonghousing.com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2132</v>
      </c>
      <c r="E223" s="2350" t="s">
        <v>1870</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2004</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2721</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2244</v>
      </c>
      <c r="L226" s="2370">
        <f>'Part II-Development Team'!L23</f>
        <v>0</v>
      </c>
      <c r="M226" s="2370">
        <f>'Part II-Development Team'!M23</f>
        <v>0</v>
      </c>
      <c r="N226" s="2350"/>
      <c r="O226" s="2358" t="s">
        <v>1994</v>
      </c>
      <c r="P226" s="2350"/>
      <c r="Q226" s="2371">
        <f>'Part II-Development Team'!Q23</f>
        <v>0</v>
      </c>
      <c r="R226" s="2371">
        <f>'Part II-Development Team'!R23</f>
        <v>0</v>
      </c>
      <c r="S226" s="2371">
        <f>'Part II-Development Team'!S23</f>
        <v>0</v>
      </c>
    </row>
    <row r="227" spans="1:19">
      <c r="A227" s="2350"/>
      <c r="B227" s="2350"/>
      <c r="C227" s="2350"/>
      <c r="D227" s="2423"/>
      <c r="E227" s="2358" t="s">
        <v>4316</v>
      </c>
      <c r="F227" s="2350"/>
      <c r="G227" s="2350"/>
      <c r="H227" s="2371">
        <f>'Part II-Development Team'!H24</f>
        <v>0</v>
      </c>
      <c r="I227" s="2371">
        <f>'Part II-Development Team'!I24</f>
        <v>0</v>
      </c>
      <c r="J227" s="2375">
        <f>'Part II-Development Team'!J24</f>
        <v>0</v>
      </c>
      <c r="K227" s="2355" t="s">
        <v>1999</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1870</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2004</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2721</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2244</v>
      </c>
      <c r="L232" s="2370">
        <f>'Part II-Development Team'!L29</f>
        <v>0</v>
      </c>
      <c r="M232" s="2370">
        <f>'Part II-Development Team'!M29</f>
        <v>0</v>
      </c>
      <c r="N232" s="2350"/>
      <c r="O232" s="2358" t="s">
        <v>1994</v>
      </c>
      <c r="P232" s="2350"/>
      <c r="Q232" s="2371">
        <f>'Part II-Development Team'!Q29</f>
        <v>0</v>
      </c>
      <c r="R232" s="2371">
        <f>'Part II-Development Team'!R29</f>
        <v>0</v>
      </c>
      <c r="S232" s="2371">
        <f>'Part II-Development Team'!S29</f>
        <v>0</v>
      </c>
    </row>
    <row r="233" spans="1:19">
      <c r="A233" s="2350"/>
      <c r="B233" s="2350"/>
      <c r="C233" s="2350"/>
      <c r="D233" s="2423"/>
      <c r="E233" s="2358" t="s">
        <v>4316</v>
      </c>
      <c r="F233" s="2350"/>
      <c r="G233" s="2350"/>
      <c r="H233" s="2371">
        <f>'Part II-Development Team'!H30</f>
        <v>0</v>
      </c>
      <c r="I233" s="2371">
        <f>'Part II-Development Team'!I30</f>
        <v>0</v>
      </c>
      <c r="J233" s="2375">
        <f>'Part II-Development Team'!J30</f>
        <v>0</v>
      </c>
      <c r="K233" s="2355" t="s">
        <v>1999</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2003</v>
      </c>
      <c r="D235" s="2400" t="s">
        <v>1872</v>
      </c>
      <c r="E235" s="2350"/>
      <c r="F235" s="2350"/>
      <c r="G235" s="2350"/>
      <c r="H235" s="2350"/>
      <c r="I235" s="2350"/>
      <c r="J235" s="2350"/>
      <c r="K235" s="2352" t="s">
        <v>4315</v>
      </c>
      <c r="L235" s="2350"/>
      <c r="M235" s="2350"/>
      <c r="N235" s="2350"/>
      <c r="O235" s="2350"/>
      <c r="P235" s="2350"/>
      <c r="Q235" s="2350"/>
      <c r="R235" s="2350"/>
      <c r="S235" s="2350"/>
    </row>
    <row r="236" spans="1:19">
      <c r="A236" s="2350"/>
      <c r="B236" s="2350"/>
      <c r="C236" s="2350"/>
      <c r="D236" s="2347" t="s">
        <v>2131</v>
      </c>
      <c r="E236" s="2350" t="s">
        <v>758</v>
      </c>
      <c r="F236" s="2350"/>
      <c r="G236" s="2350"/>
      <c r="H236" s="2350" t="str">
        <f>'Part II-Development Team'!H33</f>
        <v>Affordable Equity Partners</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2004</v>
      </c>
      <c r="P236" s="2358"/>
      <c r="Q236" s="2350" t="str">
        <f>'Part II-Development Team'!Q33</f>
        <v>Brian Kimes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206 Peach Way</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Columbia</v>
      </c>
      <c r="I238" s="2350">
        <f>'Part II-Development Team'!I35</f>
        <v>0</v>
      </c>
      <c r="J238" s="2350">
        <f>'Part II-Development Team'!J35</f>
        <v>0</v>
      </c>
      <c r="K238" s="2355" t="s">
        <v>2721</v>
      </c>
      <c r="L238" s="2350" t="str">
        <f>'Part II-Development Team'!L35</f>
        <v>www.aepartners.com</v>
      </c>
      <c r="M238" s="2350">
        <f>'Part II-Development Team'!M35</f>
        <v>0</v>
      </c>
      <c r="N238" s="2350">
        <f>'Part II-Development Team'!N35</f>
        <v>0</v>
      </c>
      <c r="O238" s="2358" t="s">
        <v>1734</v>
      </c>
      <c r="P238" s="2350"/>
      <c r="Q238" s="2371">
        <f>'Part II-Development Team'!Q35</f>
        <v>5734432021</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MO</v>
      </c>
      <c r="I239" s="2350"/>
      <c r="J239" s="2350"/>
      <c r="K239" s="2355" t="s">
        <v>2244</v>
      </c>
      <c r="L239" s="2370">
        <f>'Part II-Development Team'!L36</f>
        <v>652030000</v>
      </c>
      <c r="M239" s="2370">
        <f>'Part II-Development Team'!M36</f>
        <v>0</v>
      </c>
      <c r="N239" s="2350"/>
      <c r="O239" s="2358" t="s">
        <v>1994</v>
      </c>
      <c r="P239" s="2350"/>
      <c r="Q239" s="2371">
        <f>'Part II-Development Team'!Q36</f>
        <v>5734248811</v>
      </c>
      <c r="R239" s="2371">
        <f>'Part II-Development Team'!R36</f>
        <v>0</v>
      </c>
      <c r="S239" s="2371">
        <f>'Part II-Development Team'!S36</f>
        <v>0</v>
      </c>
    </row>
    <row r="240" spans="1:19">
      <c r="A240" s="2350"/>
      <c r="B240" s="2350"/>
      <c r="C240" s="2350"/>
      <c r="D240" s="2423"/>
      <c r="E240" s="2358" t="s">
        <v>4316</v>
      </c>
      <c r="F240" s="2350"/>
      <c r="G240" s="2350"/>
      <c r="H240" s="2371">
        <f>'Part II-Development Team'!H37</f>
        <v>5734432021</v>
      </c>
      <c r="I240" s="2371">
        <f>'Part II-Development Team'!I37</f>
        <v>0</v>
      </c>
      <c r="J240" s="2375">
        <f>'Part II-Development Team'!J37</f>
        <v>0</v>
      </c>
      <c r="K240" s="2355" t="s">
        <v>1999</v>
      </c>
      <c r="L240" s="2366" t="str">
        <f>'Part II-Development Team'!L37</f>
        <v>bkimes@aepartners.com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2132</v>
      </c>
      <c r="E242" s="2350" t="s">
        <v>759</v>
      </c>
      <c r="F242" s="2347"/>
      <c r="G242" s="2350"/>
      <c r="H242" s="2350" t="str">
        <f>'Part II-Development Team'!H39</f>
        <v>Affordable Equity Partners</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2004</v>
      </c>
      <c r="P242" s="2358"/>
      <c r="Q242" s="2350" t="str">
        <f>'Part II-Development Team'!Q39</f>
        <v>Brian Kimes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206 Peach Way</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Columbia</v>
      </c>
      <c r="I244" s="2350">
        <f>'Part II-Development Team'!I41</f>
        <v>0</v>
      </c>
      <c r="J244" s="2350">
        <f>'Part II-Development Team'!J41</f>
        <v>0</v>
      </c>
      <c r="K244" s="2355" t="s">
        <v>2721</v>
      </c>
      <c r="L244" s="2350" t="str">
        <f>'Part II-Development Team'!L41</f>
        <v>www.aepartners.com</v>
      </c>
      <c r="M244" s="2350">
        <f>'Part II-Development Team'!M41</f>
        <v>0</v>
      </c>
      <c r="N244" s="2350">
        <f>'Part II-Development Team'!N41</f>
        <v>0</v>
      </c>
      <c r="O244" s="2358" t="s">
        <v>1734</v>
      </c>
      <c r="P244" s="2350"/>
      <c r="Q244" s="2371">
        <f>'Part II-Development Team'!Q41</f>
        <v>5734432021</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2244</v>
      </c>
      <c r="L245" s="2370">
        <f>'Part II-Development Team'!L42</f>
        <v>652030000</v>
      </c>
      <c r="M245" s="2370">
        <f>'Part II-Development Team'!M42</f>
        <v>0</v>
      </c>
      <c r="N245" s="2350"/>
      <c r="O245" s="2358" t="s">
        <v>1994</v>
      </c>
      <c r="P245" s="2350"/>
      <c r="Q245" s="2371">
        <f>'Part II-Development Team'!Q42</f>
        <v>5734248811</v>
      </c>
      <c r="R245" s="2371">
        <f>'Part II-Development Team'!R42</f>
        <v>0</v>
      </c>
      <c r="S245" s="2371">
        <f>'Part II-Development Team'!S42</f>
        <v>0</v>
      </c>
    </row>
    <row r="246" spans="1:19">
      <c r="A246" s="2350"/>
      <c r="B246" s="2350"/>
      <c r="C246" s="2350"/>
      <c r="D246" s="2423"/>
      <c r="E246" s="2358" t="s">
        <v>4316</v>
      </c>
      <c r="F246" s="2350"/>
      <c r="G246" s="2350"/>
      <c r="H246" s="2371">
        <f>'Part II-Development Team'!H43</f>
        <v>5734432021</v>
      </c>
      <c r="I246" s="2371">
        <f>'Part II-Development Team'!I43</f>
        <v>0</v>
      </c>
      <c r="J246" s="2375">
        <f>'Part II-Development Team'!J43</f>
        <v>0</v>
      </c>
      <c r="K246" s="2355" t="s">
        <v>1999</v>
      </c>
      <c r="L246" s="2366" t="str">
        <f>'Part II-Development Team'!L43</f>
        <v>bkimes@aepartners.com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2550</v>
      </c>
      <c r="D248" s="2400" t="s">
        <v>657</v>
      </c>
      <c r="E248" s="2350"/>
      <c r="F248" s="2350"/>
      <c r="G248" s="2350"/>
      <c r="H248" s="2350"/>
      <c r="I248" s="2350"/>
      <c r="J248" s="2350"/>
      <c r="K248" s="2352" t="s">
        <v>4315</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2004</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2721</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2244</v>
      </c>
      <c r="L252" s="2370">
        <f>'Part II-Development Team'!L49</f>
        <v>0</v>
      </c>
      <c r="M252" s="2370">
        <f>'Part II-Development Team'!M49</f>
        <v>0</v>
      </c>
      <c r="N252" s="2350"/>
      <c r="O252" s="2358" t="s">
        <v>1994</v>
      </c>
      <c r="P252" s="2350"/>
      <c r="Q252" s="2371">
        <f>'Part II-Development Team'!Q49</f>
        <v>0</v>
      </c>
      <c r="R252" s="2371">
        <f>'Part II-Development Team'!R49</f>
        <v>0</v>
      </c>
      <c r="S252" s="2371">
        <f>'Part II-Development Team'!S49</f>
        <v>0</v>
      </c>
    </row>
    <row r="253" spans="1:19">
      <c r="A253" s="2350"/>
      <c r="B253" s="2350"/>
      <c r="C253" s="2350"/>
      <c r="D253" s="2423"/>
      <c r="E253" s="2358" t="s">
        <v>4316</v>
      </c>
      <c r="F253" s="2350"/>
      <c r="G253" s="2350"/>
      <c r="H253" s="2371">
        <f>'Part II-Development Team'!H50</f>
        <v>0</v>
      </c>
      <c r="I253" s="2371">
        <f>'Part II-Development Team'!I50</f>
        <v>0</v>
      </c>
      <c r="J253" s="2375">
        <f>'Part II-Development Team'!J50</f>
        <v>0</v>
      </c>
      <c r="K253" s="2355" t="s">
        <v>1999</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4315</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1998</v>
      </c>
      <c r="C257" s="2347" t="s">
        <v>284</v>
      </c>
      <c r="D257" s="2350"/>
      <c r="E257" s="2350"/>
      <c r="F257" s="2350"/>
      <c r="G257" s="2350"/>
      <c r="H257" s="2350" t="str">
        <f>'Part II-Development Team'!H54</f>
        <v>DDER Development,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2004</v>
      </c>
      <c r="P257" s="2358"/>
      <c r="Q257" s="2350" t="str">
        <f>'Part II-Development Team'!Q54</f>
        <v>Deion Lowery</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1631 E. Vine Street, Suite 300</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Principal</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Kissimmee</v>
      </c>
      <c r="I259" s="2350">
        <f>'Part II-Development Team'!I56</f>
        <v>0</v>
      </c>
      <c r="J259" s="2350">
        <f>'Part II-Development Team'!J56</f>
        <v>0</v>
      </c>
      <c r="K259" s="2355" t="s">
        <v>2721</v>
      </c>
      <c r="L259" s="2350">
        <f>'Part II-Development Team'!L56</f>
        <v>0</v>
      </c>
      <c r="M259" s="2350">
        <f>'Part II-Development Team'!M56</f>
        <v>0</v>
      </c>
      <c r="N259" s="2350">
        <f>'Part II-Development Team'!N56</f>
        <v>0</v>
      </c>
      <c r="O259" s="2358" t="s">
        <v>1734</v>
      </c>
      <c r="P259" s="2350"/>
      <c r="Q259" s="2371">
        <f>'Part II-Development Team'!Q56</f>
        <v>9046196215</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FL</v>
      </c>
      <c r="I260" s="2350"/>
      <c r="J260" s="2350"/>
      <c r="K260" s="2355" t="s">
        <v>2244</v>
      </c>
      <c r="L260" s="2370">
        <f>'Part II-Development Team'!L57</f>
        <v>347440000</v>
      </c>
      <c r="M260" s="2370">
        <f>'Part II-Development Team'!M57</f>
        <v>0</v>
      </c>
      <c r="N260" s="2350"/>
      <c r="O260" s="2358" t="s">
        <v>1994</v>
      </c>
      <c r="P260" s="2350"/>
      <c r="Q260" s="2371">
        <f>'Part II-Development Team'!Q57</f>
        <v>0</v>
      </c>
      <c r="R260" s="2371">
        <f>'Part II-Development Team'!R57</f>
        <v>0</v>
      </c>
      <c r="S260" s="2371">
        <f>'Part II-Development Team'!S57</f>
        <v>0</v>
      </c>
    </row>
    <row r="261" spans="1:19">
      <c r="A261" s="2350"/>
      <c r="B261" s="2350"/>
      <c r="C261" s="2350"/>
      <c r="D261" s="2423"/>
      <c r="E261" s="2358" t="s">
        <v>4316</v>
      </c>
      <c r="F261" s="2350"/>
      <c r="G261" s="2350"/>
      <c r="H261" s="2371">
        <f>'Part II-Development Team'!H58</f>
        <v>9046196215</v>
      </c>
      <c r="I261" s="2371">
        <f>'Part II-Development Team'!I58</f>
        <v>0</v>
      </c>
      <c r="J261" s="2375">
        <f>'Part II-Development Team'!J58</f>
        <v>0</v>
      </c>
      <c r="K261" s="2355" t="s">
        <v>1999</v>
      </c>
      <c r="L261" s="2366" t="str">
        <f>'Part II-Development Team'!L58</f>
        <v>lisa.lacock@birdsonghousing.com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2000</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2004</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2721</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2244</v>
      </c>
      <c r="L266" s="2370">
        <f>'Part II-Development Team'!L63</f>
        <v>0</v>
      </c>
      <c r="M266" s="2370">
        <f>'Part II-Development Team'!M63</f>
        <v>0</v>
      </c>
      <c r="N266" s="2350"/>
      <c r="O266" s="2358" t="s">
        <v>1994</v>
      </c>
      <c r="P266" s="2350"/>
      <c r="Q266" s="2371">
        <f>'Part II-Development Team'!Q63</f>
        <v>0</v>
      </c>
      <c r="R266" s="2371">
        <f>'Part II-Development Team'!R63</f>
        <v>0</v>
      </c>
      <c r="S266" s="2371">
        <f>'Part II-Development Team'!S63</f>
        <v>0</v>
      </c>
    </row>
    <row r="267" spans="1:19">
      <c r="A267" s="2350"/>
      <c r="B267" s="2350"/>
      <c r="C267" s="2350"/>
      <c r="D267" s="2423"/>
      <c r="E267" s="2358" t="s">
        <v>4316</v>
      </c>
      <c r="F267" s="2350"/>
      <c r="G267" s="2350"/>
      <c r="H267" s="2371">
        <f>'Part II-Development Team'!H64</f>
        <v>0</v>
      </c>
      <c r="I267" s="2371">
        <f>'Part II-Development Team'!I64</f>
        <v>0</v>
      </c>
      <c r="J267" s="2375">
        <f>'Part II-Development Team'!J64</f>
        <v>0</v>
      </c>
      <c r="K267" s="2355" t="s">
        <v>1999</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2004</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2721</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2244</v>
      </c>
      <c r="L272" s="2370">
        <f>'Part II-Development Team'!L69</f>
        <v>0</v>
      </c>
      <c r="M272" s="2370">
        <f>'Part II-Development Team'!M69</f>
        <v>0</v>
      </c>
      <c r="N272" s="2350"/>
      <c r="O272" s="2358" t="s">
        <v>1994</v>
      </c>
      <c r="P272" s="2350"/>
      <c r="Q272" s="2371">
        <f>'Part II-Development Team'!Q69</f>
        <v>0</v>
      </c>
      <c r="R272" s="2371">
        <f>'Part II-Development Team'!R69</f>
        <v>0</v>
      </c>
      <c r="S272" s="2371">
        <f>'Part II-Development Team'!S69</f>
        <v>0</v>
      </c>
    </row>
    <row r="273" spans="1:19">
      <c r="A273" s="2350"/>
      <c r="B273" s="2350"/>
      <c r="C273" s="2350"/>
      <c r="D273" s="2423"/>
      <c r="E273" s="2358" t="s">
        <v>4316</v>
      </c>
      <c r="F273" s="2350"/>
      <c r="G273" s="2350"/>
      <c r="H273" s="2371">
        <f>'Part II-Development Team'!H70</f>
        <v>0</v>
      </c>
      <c r="I273" s="2371">
        <f>'Part II-Development Team'!I70</f>
        <v>0</v>
      </c>
      <c r="J273" s="2375">
        <f>'Part II-Development Team'!J70</f>
        <v>0</v>
      </c>
      <c r="K273" s="2355" t="s">
        <v>1999</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2130</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2004</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2721</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2244</v>
      </c>
      <c r="L278" s="2370">
        <f>'Part II-Development Team'!L75</f>
        <v>0</v>
      </c>
      <c r="M278" s="2370">
        <f>'Part II-Development Team'!M75</f>
        <v>0</v>
      </c>
      <c r="N278" s="2350"/>
      <c r="O278" s="2358" t="s">
        <v>1994</v>
      </c>
      <c r="P278" s="2350"/>
      <c r="Q278" s="2371">
        <f>'Part II-Development Team'!Q75</f>
        <v>0</v>
      </c>
      <c r="R278" s="2371">
        <f>'Part II-Development Team'!R75</f>
        <v>0</v>
      </c>
      <c r="S278" s="2371">
        <f>'Part II-Development Team'!S75</f>
        <v>0</v>
      </c>
    </row>
    <row r="279" spans="1:19">
      <c r="A279" s="2350"/>
      <c r="B279" s="2350"/>
      <c r="C279" s="2350"/>
      <c r="D279" s="2423"/>
      <c r="E279" s="2358" t="s">
        <v>4316</v>
      </c>
      <c r="F279" s="2350"/>
      <c r="G279" s="2350"/>
      <c r="H279" s="2371">
        <f>'Part II-Development Team'!H76</f>
        <v>0</v>
      </c>
      <c r="I279" s="2371">
        <f>'Part II-Development Team'!I76</f>
        <v>0</v>
      </c>
      <c r="J279" s="2375">
        <f>'Part II-Development Team'!J76</f>
        <v>0</v>
      </c>
      <c r="K279" s="2355" t="s">
        <v>1999</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4315</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1998</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2004</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2721</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2244</v>
      </c>
      <c r="L286" s="2370">
        <f>'Part II-Development Team'!L83</f>
        <v>0</v>
      </c>
      <c r="M286" s="2370">
        <f>'Part II-Development Team'!M83</f>
        <v>0</v>
      </c>
      <c r="N286" s="2350"/>
      <c r="O286" s="2358" t="s">
        <v>1994</v>
      </c>
      <c r="P286" s="2350"/>
      <c r="Q286" s="2371">
        <f>'Part II-Development Team'!Q83</f>
        <v>0</v>
      </c>
      <c r="R286" s="2371">
        <f>'Part II-Development Team'!R83</f>
        <v>0</v>
      </c>
      <c r="S286" s="2371">
        <f>'Part II-Development Team'!S83</f>
        <v>0</v>
      </c>
    </row>
    <row r="287" spans="1:19">
      <c r="A287" s="2350"/>
      <c r="B287" s="2350"/>
      <c r="C287" s="2350"/>
      <c r="D287" s="2423"/>
      <c r="E287" s="2358" t="s">
        <v>4316</v>
      </c>
      <c r="F287" s="2350"/>
      <c r="G287" s="2350"/>
      <c r="H287" s="2371">
        <f>'Part II-Development Team'!H84</f>
        <v>0</v>
      </c>
      <c r="I287" s="2371">
        <f>'Part II-Development Team'!I84</f>
        <v>0</v>
      </c>
      <c r="J287" s="2375">
        <f>'Part II-Development Team'!J84</f>
        <v>0</v>
      </c>
      <c r="K287" s="2355" t="s">
        <v>1999</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2000</v>
      </c>
      <c r="C289" s="2347" t="s">
        <v>289</v>
      </c>
      <c r="D289" s="2350"/>
      <c r="E289" s="2350"/>
      <c r="F289" s="2350"/>
      <c r="G289" s="2350"/>
      <c r="H289" s="2350" t="str">
        <f>'Part II-Development Team'!H86</f>
        <v>Fairway Construction Co.,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2004</v>
      </c>
      <c r="P289" s="2358"/>
      <c r="Q289" s="2350" t="str">
        <f>'Part II-Development Team'!Q86</f>
        <v>Steven Hickey</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206 Peach Way</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Director of Operations</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Columbia</v>
      </c>
      <c r="I291" s="2350">
        <f>'Part II-Development Team'!I88</f>
        <v>0</v>
      </c>
      <c r="J291" s="2350">
        <f>'Part II-Development Team'!J88</f>
        <v>0</v>
      </c>
      <c r="K291" s="2355" t="s">
        <v>2721</v>
      </c>
      <c r="L291" s="2350" t="str">
        <f>'Part II-Development Team'!L88</f>
        <v>www.fairwayconstruction.net</v>
      </c>
      <c r="M291" s="2350">
        <f>'Part II-Development Team'!M88</f>
        <v>0</v>
      </c>
      <c r="N291" s="2350">
        <f>'Part II-Development Team'!N88</f>
        <v>0</v>
      </c>
      <c r="O291" s="2358" t="s">
        <v>1734</v>
      </c>
      <c r="P291" s="2350"/>
      <c r="Q291" s="2371">
        <f>'Part II-Development Team'!Q88</f>
        <v>5734432021</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MO</v>
      </c>
      <c r="I292" s="2350"/>
      <c r="J292" s="2350"/>
      <c r="K292" s="2355" t="s">
        <v>2244</v>
      </c>
      <c r="L292" s="2370">
        <f>'Part II-Development Team'!L89</f>
        <v>652030000</v>
      </c>
      <c r="M292" s="2370">
        <f>'Part II-Development Team'!M89</f>
        <v>0</v>
      </c>
      <c r="N292" s="2350"/>
      <c r="O292" s="2358" t="s">
        <v>1994</v>
      </c>
      <c r="P292" s="2350"/>
      <c r="Q292" s="2371">
        <f>'Part II-Development Team'!Q89</f>
        <v>0</v>
      </c>
      <c r="R292" s="2371">
        <f>'Part II-Development Team'!R89</f>
        <v>0</v>
      </c>
      <c r="S292" s="2371">
        <f>'Part II-Development Team'!S89</f>
        <v>0</v>
      </c>
    </row>
    <row r="293" spans="1:19">
      <c r="A293" s="2350"/>
      <c r="B293" s="2350"/>
      <c r="C293" s="2350"/>
      <c r="D293" s="2423"/>
      <c r="E293" s="2358" t="s">
        <v>4316</v>
      </c>
      <c r="F293" s="2350"/>
      <c r="G293" s="2350"/>
      <c r="H293" s="2371">
        <f>'Part II-Development Team'!H90</f>
        <v>5734432021</v>
      </c>
      <c r="I293" s="2371">
        <f>'Part II-Development Team'!I90</f>
        <v>0</v>
      </c>
      <c r="J293" s="2375">
        <f>'Part II-Development Team'!J90</f>
        <v>0</v>
      </c>
      <c r="K293" s="2355" t="s">
        <v>1999</v>
      </c>
      <c r="L293" s="2366" t="str">
        <f>'Part II-Development Team'!L90</f>
        <v>shickey@fairwayconstruction.net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Fairway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2004</v>
      </c>
      <c r="P295" s="2358"/>
      <c r="Q295" s="2350" t="str">
        <f>'Part II-Development Team'!Q92</f>
        <v>Ryan Stevens</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3290 Northside Parkway, Suite 300</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Director of Operations</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Atlanta</v>
      </c>
      <c r="I297" s="2350">
        <f>'Part II-Development Team'!I94</f>
        <v>0</v>
      </c>
      <c r="J297" s="2350">
        <f>'Part II-Development Team'!J94</f>
        <v>0</v>
      </c>
      <c r="K297" s="2355" t="s">
        <v>2721</v>
      </c>
      <c r="L297" s="2350" t="str">
        <f>'Part II-Development Team'!L94</f>
        <v>www.fairwaymanagement.com</v>
      </c>
      <c r="M297" s="2350">
        <f>'Part II-Development Team'!M94</f>
        <v>0</v>
      </c>
      <c r="N297" s="2350">
        <f>'Part II-Development Team'!N94</f>
        <v>0</v>
      </c>
      <c r="O297" s="2358" t="s">
        <v>1734</v>
      </c>
      <c r="P297" s="2350"/>
      <c r="Q297" s="2371">
        <f>'Part II-Development Team'!Q94</f>
        <v>5734432021</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GA</v>
      </c>
      <c r="I298" s="2350"/>
      <c r="J298" s="2350"/>
      <c r="K298" s="2355" t="s">
        <v>2244</v>
      </c>
      <c r="L298" s="2370">
        <f>'Part II-Development Team'!L95</f>
        <v>303270000</v>
      </c>
      <c r="M298" s="2370">
        <f>'Part II-Development Team'!M95</f>
        <v>0</v>
      </c>
      <c r="N298" s="2350"/>
      <c r="O298" s="2358" t="s">
        <v>1994</v>
      </c>
      <c r="P298" s="2350"/>
      <c r="Q298" s="2371">
        <f>'Part II-Development Team'!Q95</f>
        <v>0</v>
      </c>
      <c r="R298" s="2371">
        <f>'Part II-Development Team'!R95</f>
        <v>0</v>
      </c>
      <c r="S298" s="2371">
        <f>'Part II-Development Team'!S95</f>
        <v>0</v>
      </c>
    </row>
    <row r="299" spans="1:19">
      <c r="A299" s="2350"/>
      <c r="B299" s="2350"/>
      <c r="C299" s="2350"/>
      <c r="D299" s="2423"/>
      <c r="E299" s="2358" t="s">
        <v>4316</v>
      </c>
      <c r="F299" s="2350"/>
      <c r="G299" s="2350"/>
      <c r="H299" s="2371">
        <f>'Part II-Development Team'!H96</f>
        <v>5734432021</v>
      </c>
      <c r="I299" s="2371">
        <f>'Part II-Development Team'!I96</f>
        <v>0</v>
      </c>
      <c r="J299" s="2375">
        <f>'Part II-Development Team'!J96</f>
        <v>0</v>
      </c>
      <c r="K299" s="2355" t="s">
        <v>1999</v>
      </c>
      <c r="L299" s="2366" t="str">
        <f>'Part II-Development Team'!L96</f>
        <v>rstevens@fairwaymanagement.com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2130</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2004</v>
      </c>
      <c r="P301" s="2358"/>
      <c r="Q301" s="2350" t="str">
        <f>'Part II-Development Team'!Q98</f>
        <v>Russ Henry</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910 North Patterson Street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2721</v>
      </c>
      <c r="L303" s="2350" t="str">
        <f>'Part II-Development Team'!L100</f>
        <v>www.colemantalley.com</v>
      </c>
      <c r="M303" s="2350">
        <f>'Part II-Development Team'!M100</f>
        <v>0</v>
      </c>
      <c r="N303" s="2350">
        <f>'Part II-Development Team'!N100</f>
        <v>0</v>
      </c>
      <c r="O303" s="2358" t="s">
        <v>1734</v>
      </c>
      <c r="P303" s="2350"/>
      <c r="Q303" s="2371">
        <f>'Part II-Development Team'!Q100</f>
        <v>2292427562</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2244</v>
      </c>
      <c r="L304" s="2370">
        <f>'Part II-Development Team'!L101</f>
        <v>316010000</v>
      </c>
      <c r="M304" s="2370">
        <f>'Part II-Development Team'!M101</f>
        <v>0</v>
      </c>
      <c r="N304" s="2350"/>
      <c r="O304" s="2358" t="s">
        <v>1994</v>
      </c>
      <c r="P304" s="2350"/>
      <c r="Q304" s="2371">
        <f>'Part II-Development Team'!Q101</f>
        <v>0</v>
      </c>
      <c r="R304" s="2371">
        <f>'Part II-Development Team'!R101</f>
        <v>0</v>
      </c>
      <c r="S304" s="2371">
        <f>'Part II-Development Team'!S101</f>
        <v>0</v>
      </c>
    </row>
    <row r="305" spans="1:19">
      <c r="A305" s="2357"/>
      <c r="B305" s="2357"/>
      <c r="C305" s="2357"/>
      <c r="D305" s="2357"/>
      <c r="E305" s="2358" t="s">
        <v>4316</v>
      </c>
      <c r="F305" s="2350"/>
      <c r="G305" s="2350"/>
      <c r="H305" s="2371">
        <f>'Part II-Development Team'!H102</f>
        <v>2292427562</v>
      </c>
      <c r="I305" s="2371">
        <f>'Part II-Development Team'!I102</f>
        <v>0</v>
      </c>
      <c r="J305" s="2375">
        <f>'Part II-Development Team'!J102</f>
        <v>0</v>
      </c>
      <c r="K305" s="2355" t="s">
        <v>1999</v>
      </c>
      <c r="L305" s="2366" t="str">
        <f>'Part II-Development Team'!L102</f>
        <v>russ.henry@colemantalley.com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Tidwell Group</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2004</v>
      </c>
      <c r="P307" s="2358"/>
      <c r="Q307" s="2350" t="str">
        <f>'Part II-Development Team'!Q104</f>
        <v>Joshua Northcutt</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345 Peachtree Industrial Pkwy, Suite 1206</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Office Managing 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Suwanee</v>
      </c>
      <c r="I309" s="2350">
        <f>'Part II-Development Team'!I106</f>
        <v>0</v>
      </c>
      <c r="J309" s="2350">
        <f>'Part II-Development Team'!J106</f>
        <v>0</v>
      </c>
      <c r="K309" s="2355" t="s">
        <v>2721</v>
      </c>
      <c r="L309" s="2350" t="str">
        <f>'Part II-Development Team'!L106</f>
        <v>www.thefctgroup.com</v>
      </c>
      <c r="M309" s="2350">
        <f>'Part II-Development Team'!M106</f>
        <v>0</v>
      </c>
      <c r="N309" s="2350">
        <f>'Part II-Development Team'!N106</f>
        <v>0</v>
      </c>
      <c r="O309" s="2358" t="s">
        <v>1734</v>
      </c>
      <c r="P309" s="2350"/>
      <c r="Q309" s="2371">
        <f>'Part II-Development Team'!Q106</f>
        <v>4702736610</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2244</v>
      </c>
      <c r="L310" s="2370">
        <f>'Part II-Development Team'!L107</f>
        <v>300240000</v>
      </c>
      <c r="M310" s="2370">
        <f>'Part II-Development Team'!M107</f>
        <v>0</v>
      </c>
      <c r="N310" s="2350"/>
      <c r="O310" s="2358" t="s">
        <v>1994</v>
      </c>
      <c r="P310" s="2350"/>
      <c r="Q310" s="2371">
        <f>'Part II-Development Team'!Q107</f>
        <v>0</v>
      </c>
      <c r="R310" s="2371">
        <f>'Part II-Development Team'!R107</f>
        <v>0</v>
      </c>
      <c r="S310" s="2371">
        <f>'Part II-Development Team'!S107</f>
        <v>0</v>
      </c>
    </row>
    <row r="311" spans="1:19">
      <c r="A311" s="2357"/>
      <c r="B311" s="2357"/>
      <c r="C311" s="2357"/>
      <c r="D311" s="2357"/>
      <c r="E311" s="2358" t="s">
        <v>4316</v>
      </c>
      <c r="F311" s="2350"/>
      <c r="G311" s="2350"/>
      <c r="H311" s="2371">
        <f>'Part II-Development Team'!H108</f>
        <v>4702736610</v>
      </c>
      <c r="I311" s="2371">
        <f>'Part II-Development Team'!I108</f>
        <v>0</v>
      </c>
      <c r="J311" s="2375">
        <f>'Part II-Development Team'!J108</f>
        <v>0</v>
      </c>
      <c r="K311" s="2355" t="s">
        <v>1999</v>
      </c>
      <c r="L311" s="2366" t="str">
        <f>'Part II-Development Team'!L108</f>
        <v>joshua.northcutt@tidwellgroup.com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Martin Riley Architect Associates, P.C.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2004</v>
      </c>
      <c r="P313" s="2358"/>
      <c r="Q313" s="2350" t="str">
        <f>'Part II-Development Team'!Q110</f>
        <v>Mike Riley</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215 Church Street, Suite 200</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Vice President</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Decatur</v>
      </c>
      <c r="I315" s="2350">
        <f>'Part II-Development Team'!I112</f>
        <v>0</v>
      </c>
      <c r="J315" s="2350">
        <f>'Part II-Development Team'!J112</f>
        <v>0</v>
      </c>
      <c r="K315" s="2355" t="s">
        <v>2721</v>
      </c>
      <c r="L315" s="2350" t="str">
        <f>'Part II-Development Team'!L112</f>
        <v>www.martinriley.com</v>
      </c>
      <c r="M315" s="2350">
        <f>'Part II-Development Team'!M112</f>
        <v>0</v>
      </c>
      <c r="N315" s="2350">
        <f>'Part II-Development Team'!N112</f>
        <v>0</v>
      </c>
      <c r="O315" s="2358" t="s">
        <v>1734</v>
      </c>
      <c r="P315" s="2350"/>
      <c r="Q315" s="2371">
        <f>'Part II-Development Team'!Q112</f>
        <v>4043732800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2244</v>
      </c>
      <c r="L316" s="2370">
        <f>'Part II-Development Team'!L113</f>
        <v>300300000</v>
      </c>
      <c r="M316" s="2370">
        <f>'Part II-Development Team'!M113</f>
        <v>0</v>
      </c>
      <c r="N316" s="2350"/>
      <c r="O316" s="2358" t="s">
        <v>1994</v>
      </c>
      <c r="P316" s="2350"/>
      <c r="Q316" s="2371">
        <f>'Part II-Development Team'!Q113</f>
        <v>0</v>
      </c>
      <c r="R316" s="2371">
        <f>'Part II-Development Team'!R113</f>
        <v>0</v>
      </c>
      <c r="S316" s="2371">
        <f>'Part II-Development Team'!S113</f>
        <v>0</v>
      </c>
    </row>
    <row r="317" spans="1:19">
      <c r="A317" s="2350"/>
      <c r="B317" s="2350"/>
      <c r="C317" s="2350"/>
      <c r="D317" s="2423"/>
      <c r="E317" s="2358" t="s">
        <v>4316</v>
      </c>
      <c r="F317" s="2350"/>
      <c r="G317" s="2350"/>
      <c r="H317" s="2371">
        <f>'Part II-Development Team'!H114</f>
        <v>4043732800</v>
      </c>
      <c r="I317" s="2371">
        <f>'Part II-Development Team'!I114</f>
        <v>0</v>
      </c>
      <c r="J317" s="2375">
        <f>'Part II-Development Team'!J114</f>
        <v>0</v>
      </c>
      <c r="K317" s="2355" t="s">
        <v>1999</v>
      </c>
      <c r="L317" s="2366" t="str">
        <f>'Part II-Development Team'!L114</f>
        <v>mriley@martinriley.com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2619</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1998</v>
      </c>
      <c r="C320" s="2347" t="s">
        <v>4719</v>
      </c>
      <c r="D320" s="2350"/>
      <c r="E320" s="2350"/>
      <c r="F320" s="2350"/>
      <c r="G320" s="2350"/>
      <c r="H320" s="2350" t="str">
        <f>'Part II-Development Team'!H117</f>
        <v>Seedtime Harvest International Church</v>
      </c>
      <c r="I320" s="2350">
        <f>'Part II-Development Team'!I117</f>
        <v>0</v>
      </c>
      <c r="J320" s="2350">
        <f>'Part II-Development Team'!J117</f>
        <v>0</v>
      </c>
      <c r="K320" s="2355" t="s">
        <v>2489</v>
      </c>
      <c r="L320" s="2350" t="str">
        <f>'Part II-Development Team'!L117</f>
        <v>Dr. Charles Hadley</v>
      </c>
      <c r="M320" s="2350">
        <f>'Part II-Development Team'!M117</f>
        <v>0</v>
      </c>
      <c r="N320" s="2350">
        <f>'Part II-Development Team'!N117</f>
        <v>0</v>
      </c>
      <c r="O320" s="2358" t="s">
        <v>3602</v>
      </c>
      <c r="P320" s="2350"/>
      <c r="Q320" s="2350">
        <f>'Part II-Development Team'!Q117</f>
        <v>0</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1155 6th Street</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Moultrie</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2244</v>
      </c>
      <c r="J322" s="2370">
        <f>'Part II-Development Team'!J119</f>
        <v>317680000</v>
      </c>
      <c r="K322" s="2370">
        <f>'Part II-Development Team'!K119</f>
        <v>0</v>
      </c>
      <c r="L322" s="2355" t="s">
        <v>1999</v>
      </c>
      <c r="M322" s="2366" t="str">
        <f>'Part II-Development Team'!M119</f>
        <v>hadleychas@aol.com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2000</v>
      </c>
      <c r="C323" s="2347" t="s">
        <v>2852</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3911</v>
      </c>
      <c r="B324" s="2429"/>
      <c r="C324" s="2429"/>
      <c r="D324" s="2429"/>
      <c r="E324" s="2429"/>
      <c r="F324" s="2375" t="s">
        <v>2526</v>
      </c>
      <c r="G324" s="2364" t="s">
        <v>3500</v>
      </c>
      <c r="H324" s="2364"/>
      <c r="I324" s="2364"/>
      <c r="J324" s="2364"/>
      <c r="K324" s="2364"/>
      <c r="L324" s="2364"/>
      <c r="M324" s="2364"/>
      <c r="N324" s="2364"/>
      <c r="O324" s="2364"/>
      <c r="P324" s="2364"/>
      <c r="Q324" s="2364"/>
      <c r="R324" s="2364"/>
      <c r="S324" s="2364"/>
    </row>
    <row r="325" spans="1:19" ht="12.75" customHeight="1">
      <c r="A325" s="2350"/>
      <c r="B325" s="2412"/>
      <c r="C325" s="2430" t="s">
        <v>2001</v>
      </c>
      <c r="D325" s="2346" t="s">
        <v>2853</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2003</v>
      </c>
      <c r="D326" s="2346" t="s">
        <v>2919</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2550</v>
      </c>
      <c r="D327" s="2346" t="s">
        <v>2895</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2854</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3487</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1895</v>
      </c>
      <c r="D330" s="2346" t="s">
        <v>3488</v>
      </c>
      <c r="E330" s="2346"/>
      <c r="F330" s="2431" t="str">
        <f>'Part II-Development Team'!F127</f>
        <v>Yes</v>
      </c>
      <c r="G330" s="2432" t="str">
        <f>'Part II-Development Team'!G127</f>
        <v>The General Contractor and the Federal and State Syndicator are related parties</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2855</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Syndicator and Management Co.</v>
      </c>
      <c r="E332" s="2346">
        <f>'Part II-Development Team'!E129</f>
        <v>0</v>
      </c>
      <c r="F332" s="2431" t="str">
        <f>'Part II-Development Team'!F129</f>
        <v>Yes</v>
      </c>
      <c r="G332" s="2432" t="str">
        <f>'Part II-Development Team'!G129</f>
        <v>The Management Company and the Federal and State Syndicator are related parties</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4720</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2856</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3468</v>
      </c>
      <c r="F336" s="2346"/>
      <c r="G336" s="2346"/>
      <c r="H336" s="2346"/>
      <c r="I336" s="2346"/>
      <c r="J336" s="2346" t="s">
        <v>3469</v>
      </c>
      <c r="K336" s="2433" t="s">
        <v>4721</v>
      </c>
      <c r="L336" s="2433" t="s">
        <v>4722</v>
      </c>
      <c r="M336" s="2433" t="s">
        <v>4723</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4724</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2526</v>
      </c>
      <c r="J340" s="2346"/>
      <c r="K340" s="2433"/>
      <c r="L340" s="2433"/>
      <c r="M340" s="2375" t="s">
        <v>2526</v>
      </c>
      <c r="N340" s="2381" t="s">
        <v>2925</v>
      </c>
      <c r="O340" s="2381"/>
      <c r="P340" s="2381"/>
      <c r="Q340" s="2381"/>
      <c r="R340" s="2381"/>
      <c r="S340" s="2381"/>
    </row>
    <row r="341" spans="1:19" ht="13.5" customHeight="1">
      <c r="A341" s="2422" t="s">
        <v>3463</v>
      </c>
      <c r="B341" s="2422"/>
      <c r="C341" s="2422"/>
      <c r="D341" s="2422"/>
      <c r="E341" s="2432">
        <f>'Part II-Development Team'!E138</f>
        <v>0</v>
      </c>
      <c r="F341" s="2432">
        <f>'Part II-Development Team'!F138</f>
        <v>0</v>
      </c>
      <c r="G341" s="2432">
        <f>'Part II-Development Team'!G138</f>
        <v>0</v>
      </c>
      <c r="H341" s="2432">
        <f>'Part II-Development Team'!H138</f>
        <v>0</v>
      </c>
      <c r="I341" s="2431">
        <f>'Part II-Development Team'!I138</f>
        <v>0</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3464</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3465</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3466</v>
      </c>
      <c r="B344" s="2422"/>
      <c r="C344" s="2422"/>
      <c r="D344" s="2422"/>
      <c r="E344" s="2432">
        <f>'Part II-Development Team'!E141</f>
        <v>0</v>
      </c>
      <c r="F344" s="2432">
        <f>'Part II-Development Team'!F141</f>
        <v>0</v>
      </c>
      <c r="G344" s="2432">
        <f>'Part II-Development Team'!G141</f>
        <v>0</v>
      </c>
      <c r="H344" s="2432">
        <f>'Part II-Development Team'!H141</f>
        <v>0</v>
      </c>
      <c r="I344" s="2431">
        <f>'Part II-Development Team'!I141</f>
        <v>0</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3467</v>
      </c>
      <c r="B345" s="2422"/>
      <c r="C345" s="2422"/>
      <c r="D345" s="2422"/>
      <c r="E345" s="2432">
        <f>'Part II-Development Team'!E142</f>
        <v>0</v>
      </c>
      <c r="F345" s="2432">
        <f>'Part II-Development Team'!F142</f>
        <v>0</v>
      </c>
      <c r="G345" s="2432">
        <f>'Part II-Development Team'!G142</f>
        <v>0</v>
      </c>
      <c r="H345" s="2432">
        <f>'Part II-Development Team'!H142</f>
        <v>0</v>
      </c>
      <c r="I345" s="2431">
        <f>'Part II-Development Team'!I142</f>
        <v>0</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2912</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f>'Part II-Development Team'!I144</f>
        <v>0</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2913</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2914</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2916</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2915</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f>'Part II-Development Team'!I149</f>
        <v>0</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2917</v>
      </c>
      <c r="B353" s="2422"/>
      <c r="C353" s="2422"/>
      <c r="D353" s="2422"/>
      <c r="E353" s="2432">
        <f>'Part II-Development Team'!E150</f>
        <v>0</v>
      </c>
      <c r="F353" s="2432">
        <f>'Part II-Development Team'!F150</f>
        <v>0</v>
      </c>
      <c r="G353" s="2432">
        <f>'Part II-Development Team'!G150</f>
        <v>0</v>
      </c>
      <c r="H353" s="2432">
        <f>'Part II-Development Team'!H150</f>
        <v>0</v>
      </c>
      <c r="I353" s="2431">
        <f>'Part II-Development Team'!I150</f>
        <v>0</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2018-030 Sparrow Pointe at Forest Hill, Moultrie, Colquitt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2506</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2425</v>
      </c>
      <c r="D368" s="2350"/>
      <c r="E368" s="2362"/>
      <c r="F368" s="2362"/>
      <c r="G368" s="2362"/>
      <c r="H368" s="2355">
        <f>'Part III-Sources of Funds'!H5</f>
        <v>0</v>
      </c>
      <c r="I368" s="2358" t="s">
        <v>1549</v>
      </c>
      <c r="J368" s="2362"/>
      <c r="K368" s="2362"/>
      <c r="L368" s="2355">
        <f>'Part III-Sources of Funds'!L5</f>
        <v>0</v>
      </c>
      <c r="M368" s="2350" t="s">
        <v>3918</v>
      </c>
      <c r="N368" s="2362"/>
      <c r="O368" s="2362"/>
      <c r="P368" s="2362"/>
      <c r="Q368" s="2362"/>
    </row>
    <row r="369" spans="1:17" ht="13.5">
      <c r="A369" s="2348"/>
      <c r="B369" s="2355">
        <f>'Part III-Sources of Funds'!B6</f>
        <v>0</v>
      </c>
      <c r="C369" s="2358" t="s">
        <v>555</v>
      </c>
      <c r="D369" s="2350"/>
      <c r="E369" s="2362"/>
      <c r="F369" s="2362"/>
      <c r="G369" s="2362"/>
      <c r="H369" s="2355">
        <f>'Part III-Sources of Funds'!H6</f>
        <v>0</v>
      </c>
      <c r="I369" s="2358" t="s">
        <v>554</v>
      </c>
      <c r="J369" s="2362"/>
      <c r="K369" s="2362"/>
      <c r="L369" s="2355">
        <f>'Part III-Sources of Funds'!L6</f>
        <v>0</v>
      </c>
      <c r="M369" s="2358" t="s">
        <v>2617</v>
      </c>
      <c r="N369" s="2362"/>
      <c r="O369" s="2362"/>
      <c r="P369" s="2362"/>
      <c r="Q369" s="2362"/>
    </row>
    <row r="370" spans="1:17" ht="13.5">
      <c r="A370" s="2350"/>
      <c r="B370" s="2355">
        <f>'Part III-Sources of Funds'!B7</f>
        <v>0</v>
      </c>
      <c r="C370" s="2358" t="s">
        <v>3915</v>
      </c>
      <c r="D370" s="2362"/>
      <c r="E370" s="2362"/>
      <c r="F370" s="2408">
        <f>'Part III-Sources of Funds'!F7</f>
        <v>0</v>
      </c>
      <c r="G370" s="2408">
        <f>'Part III-Sources of Funds'!G7</f>
        <v>0</v>
      </c>
      <c r="H370" s="2355">
        <f>'Part III-Sources of Funds'!H7</f>
        <v>0</v>
      </c>
      <c r="I370" s="2358" t="s">
        <v>3705</v>
      </c>
      <c r="J370" s="2362"/>
      <c r="K370" s="2362"/>
      <c r="L370" s="2355">
        <f>'Part III-Sources of Funds'!L7</f>
        <v>0</v>
      </c>
      <c r="M370" s="2358" t="s">
        <v>2618</v>
      </c>
      <c r="N370" s="2362"/>
      <c r="O370" s="2362"/>
      <c r="P370" s="2362"/>
      <c r="Q370" s="2362"/>
    </row>
    <row r="371" spans="1:17" ht="13.5">
      <c r="A371" s="2348"/>
      <c r="B371" s="2355">
        <f>'Part III-Sources of Funds'!B8</f>
        <v>0</v>
      </c>
      <c r="C371" s="2358" t="s">
        <v>1816</v>
      </c>
      <c r="D371" s="2350"/>
      <c r="E371" s="2362"/>
      <c r="F371" s="2362"/>
      <c r="G371" s="2362"/>
      <c r="H371" s="2355">
        <f>'Part III-Sources of Funds'!H8</f>
        <v>0</v>
      </c>
      <c r="I371" s="2350" t="s">
        <v>2626</v>
      </c>
      <c r="J371" s="2362"/>
      <c r="K371" s="2362"/>
      <c r="L371" s="2355">
        <f>'Part III-Sources of Funds'!L8</f>
        <v>0</v>
      </c>
      <c r="M371" s="2358" t="s">
        <v>3710</v>
      </c>
      <c r="N371" s="2362"/>
      <c r="O371" s="2362"/>
      <c r="P371" s="2362"/>
      <c r="Q371" s="2362"/>
    </row>
    <row r="372" spans="1:17" ht="13.5">
      <c r="A372" s="2348"/>
      <c r="B372" s="2355">
        <f>'Part III-Sources of Funds'!B9</f>
        <v>0</v>
      </c>
      <c r="C372" s="2358" t="s">
        <v>556</v>
      </c>
      <c r="D372" s="2362"/>
      <c r="E372" s="2362"/>
      <c r="F372" s="2362"/>
      <c r="G372" s="2362"/>
      <c r="H372" s="2355">
        <f>'Part III-Sources of Funds'!H9</f>
        <v>0</v>
      </c>
      <c r="I372" s="2350" t="s">
        <v>2624</v>
      </c>
      <c r="J372" s="2362"/>
      <c r="K372" s="2362"/>
      <c r="L372" s="2355">
        <f>'Part III-Sources of Funds'!L9</f>
        <v>0</v>
      </c>
      <c r="M372" s="2358" t="s">
        <v>2625</v>
      </c>
      <c r="N372" s="2362"/>
      <c r="O372" s="2362"/>
      <c r="P372" s="2362"/>
      <c r="Q372" s="2362"/>
    </row>
    <row r="373" spans="1:17" ht="13.5">
      <c r="A373" s="2348"/>
      <c r="B373" s="2355">
        <f>'Part III-Sources of Funds'!B10</f>
        <v>0</v>
      </c>
      <c r="C373" s="2358" t="s">
        <v>3916</v>
      </c>
      <c r="D373" s="2362"/>
      <c r="E373" s="2362"/>
      <c r="F373" s="2362"/>
      <c r="G373" s="2439"/>
      <c r="H373" s="2355">
        <f>'Part III-Sources of Funds'!H10</f>
        <v>0</v>
      </c>
      <c r="I373" s="2350" t="s">
        <v>3746</v>
      </c>
      <c r="J373" s="2346"/>
      <c r="K373" s="2346"/>
      <c r="L373" s="2355">
        <f>'Part III-Sources of Funds'!L10</f>
        <v>0</v>
      </c>
      <c r="M373" s="2358" t="s">
        <v>3748</v>
      </c>
      <c r="N373" s="2362"/>
      <c r="O373" s="2362" t="str">
        <f>'Part III-Sources of Funds'!O10</f>
        <v>Specify Other PBRA Source here</v>
      </c>
      <c r="P373" s="2362">
        <f>'Part III-Sources of Funds'!P10</f>
        <v>0</v>
      </c>
      <c r="Q373" s="2362">
        <f>'Part III-Sources of Funds'!Q10</f>
        <v>0</v>
      </c>
    </row>
    <row r="374" spans="1:17" ht="13.5">
      <c r="A374" s="2348"/>
      <c r="B374" s="2355">
        <f>'Part III-Sources of Funds'!B11</f>
        <v>0</v>
      </c>
      <c r="C374" s="2358" t="s">
        <v>4725</v>
      </c>
      <c r="D374" s="2350"/>
      <c r="E374" s="2440">
        <f>'Part III-Sources of Funds'!E11</f>
        <v>0</v>
      </c>
      <c r="F374" s="2441">
        <f>'Part III-Sources of Funds'!F11</f>
        <v>0</v>
      </c>
      <c r="G374" s="2362"/>
      <c r="H374" s="2355">
        <f>'Part III-Sources of Funds'!H11</f>
        <v>0</v>
      </c>
      <c r="I374" s="2350" t="s">
        <v>3751</v>
      </c>
      <c r="J374" s="2362"/>
      <c r="K374" s="2362"/>
      <c r="L374" s="2355">
        <f>'Part III-Sources of Funds'!L11</f>
        <v>0</v>
      </c>
      <c r="M374" s="2350" t="s">
        <v>3644</v>
      </c>
      <c r="N374" s="2362"/>
      <c r="O374" s="2362"/>
      <c r="P374" s="2362"/>
      <c r="Q374" s="2362"/>
    </row>
    <row r="375" spans="1:17" ht="13.5">
      <c r="A375" s="2348"/>
      <c r="B375" s="2355">
        <f>'Part III-Sources of Funds'!B12</f>
        <v>0</v>
      </c>
      <c r="C375" s="2358" t="s">
        <v>4726</v>
      </c>
      <c r="D375" s="2362"/>
      <c r="E375" s="2440">
        <f>'Part III-Sources of Funds'!E12</f>
        <v>0</v>
      </c>
      <c r="F375" s="2441">
        <f>'Part III-Sources of Funds'!F12</f>
        <v>0</v>
      </c>
      <c r="G375" s="2362"/>
      <c r="H375" s="2355">
        <f>'Part III-Sources of Funds'!H12</f>
        <v>0</v>
      </c>
      <c r="I375" s="2412" t="s">
        <v>2813</v>
      </c>
      <c r="J375" s="2412"/>
      <c r="K375" s="2412"/>
      <c r="L375" s="2355">
        <f>'Part III-Sources of Funds'!L12</f>
        <v>0</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3747</v>
      </c>
      <c r="D376" s="2362"/>
      <c r="E376" s="2362" t="str">
        <f>'Part III-Sources of Funds'!E13</f>
        <v>Specify Other HOME Source here</v>
      </c>
      <c r="F376" s="2362">
        <f>'Part III-Sources of Funds'!F13</f>
        <v>0</v>
      </c>
      <c r="G376" s="2362">
        <f>'Part III-Sources of Funds'!G13</f>
        <v>0</v>
      </c>
      <c r="H376" s="2355">
        <f>'Part III-Sources of Funds'!H13</f>
        <v>0</v>
      </c>
      <c r="I376" s="2358" t="s">
        <v>3917</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3711</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2360</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1884</v>
      </c>
      <c r="C381" s="2350"/>
      <c r="D381" s="2350"/>
      <c r="E381" s="2350"/>
      <c r="F381" s="2350"/>
      <c r="G381" s="2350"/>
      <c r="H381" s="2350" t="s">
        <v>1309</v>
      </c>
      <c r="I381" s="2350"/>
      <c r="J381" s="2350"/>
      <c r="K381" s="2350"/>
      <c r="L381" s="2350" t="s">
        <v>2005</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Sterling Bank</v>
      </c>
      <c r="I382" s="2429">
        <f>'Part III-Sources of Funds'!I19</f>
        <v>0</v>
      </c>
      <c r="J382" s="2429">
        <f>'Part III-Sources of Funds'!J19</f>
        <v>0</v>
      </c>
      <c r="K382" s="2429">
        <f>'Part III-Sources of Funds'!K19</f>
        <v>0</v>
      </c>
      <c r="L382" s="2365">
        <f>'Part III-Sources of Funds'!L19</f>
        <v>6862941</v>
      </c>
      <c r="M382" s="2365">
        <f>'Part III-Sources of Funds'!M19</f>
        <v>0</v>
      </c>
      <c r="N382" s="2442">
        <f>'Part III-Sources of Funds'!N19</f>
        <v>5.7500000000000002E-2</v>
      </c>
      <c r="O382" s="2442">
        <f>'Part III-Sources of Funds'!O19</f>
        <v>0</v>
      </c>
      <c r="P382" s="2443">
        <f>'Part III-Sources of Funds'!P19</f>
        <v>18</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2230</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Affordable Equity Partners, Inc.</v>
      </c>
      <c r="I388" s="2429">
        <f>'Part III-Sources of Funds'!I25</f>
        <v>0</v>
      </c>
      <c r="J388" s="2429">
        <f>'Part III-Sources of Funds'!J25</f>
        <v>0</v>
      </c>
      <c r="K388" s="2429">
        <f>'Part III-Sources of Funds'!K25</f>
        <v>0</v>
      </c>
      <c r="L388" s="2365">
        <f>'Part III-Sources of Funds'!L25</f>
        <v>1413434</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Affordable Equity Partners, Inc.</v>
      </c>
      <c r="I389" s="2429">
        <f>'Part III-Sources of Funds'!I26</f>
        <v>0</v>
      </c>
      <c r="J389" s="2429">
        <f>'Part III-Sources of Funds'!J26</f>
        <v>0</v>
      </c>
      <c r="K389" s="2429">
        <f>'Part III-Sources of Funds'!K26</f>
        <v>0</v>
      </c>
      <c r="L389" s="2365">
        <f>'Part III-Sources of Funds'!L26</f>
        <v>609280</v>
      </c>
      <c r="M389" s="2365">
        <f>'Part III-Sources of Funds'!M26</f>
        <v>0</v>
      </c>
      <c r="N389" s="2350"/>
      <c r="O389" s="2362"/>
      <c r="P389" s="2362"/>
      <c r="Q389" s="2350"/>
    </row>
    <row r="390" spans="1:17" ht="25.5">
      <c r="A390" s="2350"/>
      <c r="B390" s="2350" t="s">
        <v>244</v>
      </c>
      <c r="C390" s="2350"/>
      <c r="D390" s="2429" t="str">
        <f>'Part III-Sources of Funds'!D27</f>
        <v>GP &amp; LP Equity</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110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8885765</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8885765</v>
      </c>
      <c r="M394" s="2444">
        <f>'Part III-Sources of Funds'!M31</f>
        <v>0</v>
      </c>
      <c r="N394" s="2364"/>
      <c r="O394" s="2362"/>
      <c r="P394" s="2362"/>
      <c r="Q394" s="2362"/>
    </row>
    <row r="395" spans="1:17" ht="13.5">
      <c r="A395" s="2350"/>
      <c r="B395" s="2358" t="s">
        <v>2172</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2114</v>
      </c>
      <c r="L398" s="2355" t="s">
        <v>1307</v>
      </c>
      <c r="M398" s="2355" t="s">
        <v>1312</v>
      </c>
      <c r="N398" s="2364" t="s">
        <v>35</v>
      </c>
      <c r="O398" s="2364"/>
      <c r="P398" s="2355"/>
      <c r="Q398" s="2347"/>
    </row>
    <row r="399" spans="1:17">
      <c r="A399" s="2350"/>
      <c r="B399" s="2358" t="s">
        <v>1884</v>
      </c>
      <c r="C399" s="2350"/>
      <c r="D399" s="2350"/>
      <c r="E399" s="2350" t="s">
        <v>1309</v>
      </c>
      <c r="F399" s="2350"/>
      <c r="G399" s="2350"/>
      <c r="H399" s="2350"/>
      <c r="I399" s="2350" t="s">
        <v>493</v>
      </c>
      <c r="J399" s="2350"/>
      <c r="K399" s="2355" t="s">
        <v>1819</v>
      </c>
      <c r="L399" s="2355" t="s">
        <v>2229</v>
      </c>
      <c r="M399" s="2355" t="s">
        <v>2229</v>
      </c>
      <c r="N399" s="2364"/>
      <c r="O399" s="2364"/>
      <c r="P399" s="2350" t="s">
        <v>75</v>
      </c>
      <c r="Q399" s="2350"/>
    </row>
    <row r="400" spans="1:17">
      <c r="A400" s="2350"/>
      <c r="B400" s="2350" t="s">
        <v>2630</v>
      </c>
      <c r="C400" s="2350"/>
      <c r="D400" s="2350"/>
      <c r="E400" s="2429">
        <f>'Part III-Sources of Funds'!E37</f>
        <v>0</v>
      </c>
      <c r="F400" s="2429">
        <f>'Part III-Sources of Funds'!F37</f>
        <v>0</v>
      </c>
      <c r="G400" s="2429">
        <f>'Part III-Sources of Funds'!G37</f>
        <v>0</v>
      </c>
      <c r="H400" s="2429">
        <f>'Part III-Sources of Funds'!H37</f>
        <v>0</v>
      </c>
      <c r="I400" s="2386">
        <f>'Part III-Sources of Funds'!I37</f>
        <v>0</v>
      </c>
      <c r="J400" s="2350">
        <f>'Part III-Sources of Funds'!J37</f>
        <v>0</v>
      </c>
      <c r="K400" s="2447">
        <f>'Part III-Sources of Funds'!K37</f>
        <v>0</v>
      </c>
      <c r="L400" s="2355">
        <f>'Part III-Sources of Funds'!L37</f>
        <v>0</v>
      </c>
      <c r="M400" s="2355">
        <f>'Part III-Sources of Funds'!M37</f>
        <v>0</v>
      </c>
      <c r="N400" s="2448" t="str">
        <f>'Part III-Sources of Funds'!N37</f>
        <v/>
      </c>
      <c r="O400" s="2448">
        <f>'Part III-Sources of Funds'!O37</f>
        <v>0</v>
      </c>
      <c r="P400" s="2350">
        <f>'Part III-Sources of Funds'!P37</f>
        <v>0</v>
      </c>
      <c r="Q400" s="2350">
        <f>'Part III-Sources of Funds'!Q37</f>
        <v>0</v>
      </c>
    </row>
    <row r="401" spans="1:17">
      <c r="A401" s="2350"/>
      <c r="B401" s="2350" t="s">
        <v>2631</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2632</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2766</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IF(OR(I404&lt;=0,I404=""),"",IF(P404="Amortizing",-PMT(K404/12,M404*12,I404,0,0)*12,""))</f>
        <v/>
      </c>
      <c r="O404" s="2448"/>
      <c r="P404" s="2350"/>
      <c r="Q404" s="2350"/>
    </row>
    <row r="405" spans="1:17" ht="38.25">
      <c r="A405" s="2350"/>
      <c r="B405" s="2350" t="s">
        <v>230</v>
      </c>
      <c r="C405" s="2350"/>
      <c r="D405" s="2449">
        <f>'Part III-Sources of Funds'!D42</f>
        <v>1.6593942373275185E-2</v>
      </c>
      <c r="E405" s="2429" t="str">
        <f>'Part III-Sources of Funds'!E42</f>
        <v>DDER Development, LLC</v>
      </c>
      <c r="F405" s="2429">
        <f>'Part III-Sources of Funds'!F42</f>
        <v>0</v>
      </c>
      <c r="G405" s="2429">
        <f>'Part III-Sources of Funds'!G42</f>
        <v>0</v>
      </c>
      <c r="H405" s="2429">
        <f>'Part III-Sources of Funds'!H42</f>
        <v>0</v>
      </c>
      <c r="I405" s="2386">
        <f>'Part III-Sources of Funds'!I42</f>
        <v>20996</v>
      </c>
      <c r="J405" s="2350">
        <f>'Part III-Sources of Funds'!J42</f>
        <v>0</v>
      </c>
      <c r="K405" s="2447">
        <f>'Part III-Sources of Funds'!K42</f>
        <v>0</v>
      </c>
      <c r="L405" s="2355">
        <f>'Part III-Sources of Funds'!L42</f>
        <v>15</v>
      </c>
      <c r="M405" s="2355">
        <f>'Part III-Sources of Funds'!M42</f>
        <v>0</v>
      </c>
      <c r="N405" s="2448">
        <f>'Part III-Sources of Funds'!N42</f>
        <v>0</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4236</v>
      </c>
      <c r="C407" s="2350"/>
      <c r="D407" s="2362"/>
      <c r="E407" s="2362" t="s">
        <v>4129</v>
      </c>
      <c r="F407" s="2453">
        <f>'Part III-Sources of Funds'!F44</f>
        <v>658774.15516984905</v>
      </c>
      <c r="G407" s="2362"/>
      <c r="H407" s="2439" t="s">
        <v>4235</v>
      </c>
      <c r="I407" s="2453">
        <f>'Part III-Sources of Funds'!I44</f>
        <v>20996</v>
      </c>
      <c r="J407" s="2362"/>
      <c r="K407" s="2447"/>
      <c r="L407" s="2355"/>
      <c r="M407" s="2355"/>
      <c r="N407" s="2452"/>
      <c r="O407" s="2452"/>
      <c r="P407" s="2355"/>
      <c r="Q407" s="2355"/>
    </row>
    <row r="408" spans="1:17" ht="13.5">
      <c r="A408" s="2350"/>
      <c r="B408" s="2362" t="s">
        <v>4727</v>
      </c>
      <c r="C408" s="2350"/>
      <c r="D408" s="2449"/>
      <c r="E408" s="2362"/>
      <c r="F408" s="2454">
        <f>'Part III-Sources of Funds'!F45</f>
        <v>3.1871317105004959E-2</v>
      </c>
      <c r="G408" s="2454">
        <f>'Part III-Sources of Funds'!G45</f>
        <v>0</v>
      </c>
      <c r="H408" s="2439" t="s">
        <v>4237</v>
      </c>
      <c r="I408" s="2454">
        <f>'Part III-Sources of Funds'!I45</f>
        <v>3.1871317105004959E-2</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2230</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51">
      <c r="A412" s="2350"/>
      <c r="B412" s="2350" t="s">
        <v>810</v>
      </c>
      <c r="C412" s="2350"/>
      <c r="D412" s="2350"/>
      <c r="E412" s="2429" t="str">
        <f>'Part III-Sources of Funds'!E49</f>
        <v>Affordable Equity Partners, Inc.</v>
      </c>
      <c r="F412" s="2429">
        <f>'Part III-Sources of Funds'!F49</f>
        <v>0</v>
      </c>
      <c r="G412" s="2429">
        <f>'Part III-Sources of Funds'!G49</f>
        <v>0</v>
      </c>
      <c r="H412" s="2429">
        <f>'Part III-Sources of Funds'!H49</f>
        <v>0</v>
      </c>
      <c r="I412" s="2386">
        <f>'Part III-Sources of Funds'!I49</f>
        <v>7067172</v>
      </c>
      <c r="J412" s="2350">
        <f>'Part III-Sources of Funds'!J49</f>
        <v>0</v>
      </c>
      <c r="K412" s="2362"/>
      <c r="L412" s="2457">
        <f>'Part IV-A-Uses of Funds'!$J$175*10*'Part IV-A-Uses of Funds'!$N$168</f>
        <v>7140000</v>
      </c>
      <c r="M412" s="2457"/>
      <c r="N412" s="2458">
        <f>I412-L412</f>
        <v>-72828</v>
      </c>
      <c r="O412" s="2458"/>
      <c r="P412" s="2459" t="s">
        <v>2576</v>
      </c>
      <c r="Q412" s="2350"/>
    </row>
    <row r="413" spans="1:17" ht="51">
      <c r="A413" s="2350"/>
      <c r="B413" s="2350" t="s">
        <v>811</v>
      </c>
      <c r="C413" s="2350"/>
      <c r="D413" s="2350"/>
      <c r="E413" s="2429" t="str">
        <f>'Part III-Sources of Funds'!E50</f>
        <v>Affordable Equity Partners, Inc.</v>
      </c>
      <c r="F413" s="2429">
        <f>'Part III-Sources of Funds'!F50</f>
        <v>0</v>
      </c>
      <c r="G413" s="2429">
        <f>'Part III-Sources of Funds'!G50</f>
        <v>0</v>
      </c>
      <c r="H413" s="2429">
        <f>'Part III-Sources of Funds'!H50</f>
        <v>0</v>
      </c>
      <c r="I413" s="2386">
        <f>'Part III-Sources of Funds'!I50</f>
        <v>3046400</v>
      </c>
      <c r="J413" s="2350">
        <f>'Part III-Sources of Funds'!J50</f>
        <v>0</v>
      </c>
      <c r="K413" s="2362"/>
      <c r="L413" s="2457">
        <f>'Part IV-A-Uses of Funds'!$J$175*10*'Part IV-A-Uses of Funds'!$Q$168</f>
        <v>2975000</v>
      </c>
      <c r="M413" s="2457"/>
      <c r="N413" s="2458">
        <f>I413-L413</f>
        <v>71400</v>
      </c>
      <c r="O413" s="2458"/>
      <c r="P413" s="2460">
        <f>I412/I422</f>
        <v>0.69732575618090675</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0.30059169122097418</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0.99791744740188093</v>
      </c>
      <c r="Q415" s="2350"/>
    </row>
    <row r="416" spans="1:17" ht="13.5">
      <c r="A416" s="2350"/>
      <c r="B416" s="2350" t="s">
        <v>1882</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1883</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25.5">
      <c r="A418" s="2350"/>
      <c r="B418" s="2350" t="s">
        <v>749</v>
      </c>
      <c r="C418" s="2429" t="str">
        <f>'Part III-Sources of Funds'!C55</f>
        <v>GP &amp; LP Equity</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110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2231</v>
      </c>
      <c r="C421" s="2350"/>
      <c r="D421" s="2350"/>
      <c r="E421" s="2350"/>
      <c r="F421" s="2350"/>
      <c r="G421" s="2350"/>
      <c r="H421" s="2362"/>
      <c r="I421" s="2444">
        <f>SUM(I400:J405)+SUM(I410:J420)</f>
        <v>10134678</v>
      </c>
      <c r="J421" s="2444"/>
      <c r="K421" s="2350"/>
      <c r="L421" s="2355"/>
      <c r="M421" s="2429"/>
      <c r="N421" s="2429"/>
      <c r="O421" s="2429"/>
      <c r="P421" s="2429"/>
      <c r="Q421" s="2350"/>
    </row>
    <row r="422" spans="1:17" ht="13.5">
      <c r="A422" s="2350"/>
      <c r="B422" s="2358" t="s">
        <v>2232</v>
      </c>
      <c r="C422" s="2350"/>
      <c r="D422" s="2350"/>
      <c r="E422" s="2350"/>
      <c r="F422" s="2350"/>
      <c r="G422" s="2350"/>
      <c r="H422" s="2362"/>
      <c r="I422" s="2444">
        <f>'Part IV-A-Uses of Funds'!$G$132</f>
        <v>10134678</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3489</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f>'Part III-Sources of Funds'!A64</f>
        <v>0</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2018-030 Sparrow Pointe at Forest Hill,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2018-030 Sparrow Pointe at Forest Hill,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2699</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2015</v>
      </c>
      <c r="C444" s="2350"/>
      <c r="D444" s="2350"/>
      <c r="E444" s="2350"/>
      <c r="F444" s="2350"/>
      <c r="G444" s="2365">
        <f>'Part IV-A-Uses of Funds'!G8</f>
        <v>2500</v>
      </c>
      <c r="H444" s="2365">
        <f>'Part IV-A-Uses of Funds'!H8</f>
        <v>0</v>
      </c>
      <c r="I444" s="2350"/>
      <c r="J444" s="2365">
        <f>'Part IV-A-Uses of Funds'!J8</f>
        <v>2500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8000</v>
      </c>
      <c r="H445" s="2365">
        <f>'Part IV-A-Uses of Funds'!H9</f>
        <v>0</v>
      </c>
      <c r="I445" s="2350"/>
      <c r="J445" s="2365">
        <f>'Part IV-A-Uses of Funds'!J9</f>
        <v>8000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6500</v>
      </c>
      <c r="H446" s="2365">
        <f>'Part IV-A-Uses of Funds'!H10</f>
        <v>0</v>
      </c>
      <c r="I446" s="2350"/>
      <c r="J446" s="2365">
        <f>'Part IV-A-Uses of Funds'!J10</f>
        <v>6500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7500</v>
      </c>
      <c r="H447" s="2365">
        <f>'Part IV-A-Uses of Funds'!H11</f>
        <v>0</v>
      </c>
      <c r="I447" s="2350"/>
      <c r="J447" s="2365">
        <f>'Part IV-A-Uses of Funds'!J11</f>
        <v>7500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2515</v>
      </c>
      <c r="C448" s="2350"/>
      <c r="D448" s="2350"/>
      <c r="E448" s="2350"/>
      <c r="F448" s="2350"/>
      <c r="G448" s="2365">
        <f>'Part IV-A-Uses of Funds'!G12</f>
        <v>15000</v>
      </c>
      <c r="H448" s="2365">
        <f>'Part IV-A-Uses of Funds'!H12</f>
        <v>0</v>
      </c>
      <c r="I448" s="2350"/>
      <c r="J448" s="2365">
        <f>'Part IV-A-Uses of Funds'!J12</f>
        <v>15000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39500</v>
      </c>
      <c r="H453" s="2365"/>
      <c r="I453" s="2350"/>
      <c r="J453" s="2365">
        <f>SUM(J444:K452)</f>
        <v>39500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2212</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2213</v>
      </c>
      <c r="C455" s="2350"/>
      <c r="D455" s="2350"/>
      <c r="E455" s="2350"/>
      <c r="F455" s="2350"/>
      <c r="G455" s="2365">
        <f>'Part IV-A-Uses of Funds'!G19</f>
        <v>275000</v>
      </c>
      <c r="H455" s="2365">
        <f>'Part IV-A-Uses of Funds'!H19</f>
        <v>0</v>
      </c>
      <c r="I455" s="2350"/>
      <c r="J455" s="2380"/>
      <c r="K455" s="2365"/>
      <c r="L455" s="2380"/>
      <c r="M455" s="2380"/>
      <c r="N455" s="2365"/>
      <c r="O455" s="2350"/>
      <c r="P455" s="2380"/>
      <c r="Q455" s="2365"/>
      <c r="R455" s="2350"/>
      <c r="S455" s="2365">
        <f>'Part IV-A-Uses of Funds'!S19</f>
        <v>275000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275000</v>
      </c>
      <c r="H459" s="2365"/>
      <c r="I459" s="2350"/>
      <c r="J459" s="2380"/>
      <c r="K459" s="2365"/>
      <c r="L459" s="2380"/>
      <c r="M459" s="2365">
        <f>SUM(M457:N458)</f>
        <v>0</v>
      </c>
      <c r="N459" s="2365"/>
      <c r="O459" s="2350"/>
      <c r="P459" s="2380"/>
      <c r="Q459" s="2365"/>
      <c r="R459" s="2350"/>
      <c r="S459" s="2365">
        <f>SUM(S455:T458)</f>
        <v>275000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3754</v>
      </c>
      <c r="F461" s="2416">
        <f>IF('Part I-Project Information'!$O$37="","",G461/'Part I-Project Information'!$O$37)</f>
        <v>154671.93195625758</v>
      </c>
      <c r="G461" s="2365">
        <f>'Part IV-A-Uses of Funds'!G25</f>
        <v>1272950</v>
      </c>
      <c r="H461" s="2365">
        <f>'Part IV-A-Uses of Funds'!H25</f>
        <v>0</v>
      </c>
      <c r="I461" s="2350"/>
      <c r="J461" s="2365">
        <f>'Part IV-A-Uses of Funds'!J25</f>
        <v>1209303</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63648</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50890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50890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1323840</v>
      </c>
      <c r="H463" s="2365"/>
      <c r="I463" s="2350"/>
      <c r="J463" s="2365">
        <f>SUM(J461:K462)</f>
        <v>1209303</v>
      </c>
      <c r="K463" s="2365"/>
      <c r="L463" s="2380"/>
      <c r="M463" s="2365">
        <f>M461</f>
        <v>0</v>
      </c>
      <c r="N463" s="2365"/>
      <c r="O463" s="2350"/>
      <c r="P463" s="2365">
        <f>P461</f>
        <v>0</v>
      </c>
      <c r="Q463" s="2365"/>
      <c r="R463" s="2350"/>
      <c r="S463" s="2365">
        <f>SUM(S461:T462)</f>
        <v>114538</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4861746</v>
      </c>
      <c r="H465" s="2365">
        <f>'Part IV-A-Uses of Funds'!H29</f>
        <v>0</v>
      </c>
      <c r="I465" s="2350"/>
      <c r="J465" s="2365">
        <f>'Part IV-A-Uses of Funds'!J29</f>
        <v>4861746</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2797</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2796</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4861746</v>
      </c>
      <c r="H469" s="2365"/>
      <c r="I469" s="2350"/>
      <c r="J469" s="2365">
        <f>SUM(J465:K468)</f>
        <v>4861746</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2358</v>
      </c>
      <c r="C470" s="2350"/>
      <c r="D470" s="2420" t="s">
        <v>3758</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2359</v>
      </c>
      <c r="C471" s="2350"/>
      <c r="D471" s="2474">
        <f>'DCA Underwriting Assumptions'!$R$74</f>
        <v>0.06</v>
      </c>
      <c r="E471" s="2475">
        <f>D471*(G463+G469)</f>
        <v>371135.16</v>
      </c>
      <c r="F471" s="2474" t="e">
        <f>IF(($G$27+$G$33)=0,0,G471/($G$27+$G$33))</f>
        <v>#VALUE!</v>
      </c>
      <c r="G471" s="2365">
        <f>'Part IV-A-Uses of Funds'!G35</f>
        <v>371135</v>
      </c>
      <c r="H471" s="2365">
        <f>'Part IV-A-Uses of Funds'!H35</f>
        <v>0</v>
      </c>
      <c r="I471" s="2357"/>
      <c r="J471" s="2365">
        <f>'Part IV-A-Uses of Funds'!J35</f>
        <v>371135</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2753</v>
      </c>
      <c r="C472" s="2350"/>
      <c r="D472" s="2474">
        <f>'DCA Underwriting Assumptions'!$R$75</f>
        <v>0.02</v>
      </c>
      <c r="E472" s="2475">
        <f>D472*(G463+G469)</f>
        <v>123711.72</v>
      </c>
      <c r="F472" s="2474" t="e">
        <f>IF(($G$27+$G$33)=0,0,G472/($G$27+$G$33))</f>
        <v>#VALUE!</v>
      </c>
      <c r="G472" s="2365">
        <f>'Part IV-A-Uses of Funds'!G36</f>
        <v>123711</v>
      </c>
      <c r="H472" s="2365">
        <f>'Part IV-A-Uses of Funds'!H36</f>
        <v>0</v>
      </c>
      <c r="I472" s="2357"/>
      <c r="J472" s="2365">
        <f>'Part IV-A-Uses of Funds'!J36</f>
        <v>123711</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2754</v>
      </c>
      <c r="C473" s="2350"/>
      <c r="D473" s="2474">
        <f>'DCA Underwriting Assumptions'!$R$76</f>
        <v>0.06</v>
      </c>
      <c r="E473" s="2475">
        <f>D473*(G463+G469)</f>
        <v>371135.16</v>
      </c>
      <c r="F473" s="2474" t="e">
        <f>IF(($G$27+$G$33)=0,0,G473/($G$27+$G$33))</f>
        <v>#VALUE!</v>
      </c>
      <c r="G473" s="2365">
        <f>'Part IV-A-Uses of Funds'!G37</f>
        <v>371135</v>
      </c>
      <c r="H473" s="2365">
        <f>'Part IV-A-Uses of Funds'!H37</f>
        <v>0</v>
      </c>
      <c r="I473" s="2357"/>
      <c r="J473" s="2365">
        <f>'Part IV-A-Uses of Funds'!J37</f>
        <v>371135</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3759</v>
      </c>
      <c r="C474" s="2350"/>
      <c r="D474" s="2472">
        <f>SUM(D471:D473)</f>
        <v>0.14000000000000001</v>
      </c>
      <c r="E474" s="2476">
        <f>SUM(E471:E473)</f>
        <v>865982.04</v>
      </c>
      <c r="F474" s="2467" t="s">
        <v>193</v>
      </c>
      <c r="G474" s="2365">
        <f>SUM(G471:H473)</f>
        <v>865981</v>
      </c>
      <c r="H474" s="2365"/>
      <c r="I474" s="2350"/>
      <c r="J474" s="2365">
        <f>SUM(J471:K473)</f>
        <v>865981</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4728</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4729</v>
      </c>
      <c r="C479" s="2479"/>
      <c r="D479" s="2350"/>
      <c r="E479" s="2349" t="s">
        <v>2761</v>
      </c>
      <c r="F479" s="2480">
        <f>B480/'Part VI-Revenues &amp; Expenses'!$O$60</f>
        <v>141031.34</v>
      </c>
      <c r="G479" s="2481" t="s">
        <v>4730</v>
      </c>
      <c r="H479" s="2350"/>
      <c r="I479" s="2350"/>
      <c r="J479" s="2482">
        <f>B480/'Part VI-Revenues &amp; Expenses'!$O$62</f>
        <v>141031.34</v>
      </c>
      <c r="K479" s="2482"/>
      <c r="L479" s="2350"/>
      <c r="M479" s="2483" t="s">
        <v>1414</v>
      </c>
      <c r="N479" s="2483"/>
      <c r="O479" s="2350"/>
      <c r="P479" s="2482">
        <f>B480/'Part I-Project Information'!$P$71</f>
        <v>124.36626102292769</v>
      </c>
      <c r="Q479" s="2482"/>
      <c r="R479" s="2350"/>
      <c r="S479" s="2389" t="s">
        <v>2795</v>
      </c>
      <c r="T479" s="2389"/>
      <c r="U479" s="2350"/>
      <c r="V479" s="2464"/>
      <c r="W479" s="1329">
        <f>'Part IV-A-Uses of Funds'!W43</f>
        <v>0</v>
      </c>
      <c r="X479" s="1329">
        <f>'Part IV-A-Uses of Funds'!X43</f>
        <v>0</v>
      </c>
    </row>
    <row r="480" spans="1:24">
      <c r="A480" s="2350"/>
      <c r="B480" s="2484">
        <f>G463+G469+G474+G477</f>
        <v>7051567</v>
      </c>
      <c r="C480" s="2484"/>
      <c r="D480" s="2350"/>
      <c r="E480" s="2349"/>
      <c r="F480" s="2480">
        <f>B480/'Part VI-Revenues &amp; Expenses'!$O$117</f>
        <v>128.91347349177332</v>
      </c>
      <c r="G480" s="2389" t="s">
        <v>4731</v>
      </c>
      <c r="H480" s="2350"/>
      <c r="I480" s="2350"/>
      <c r="J480" s="2482">
        <f>B480/'Part VI-Revenues &amp; Expenses'!$O$119</f>
        <v>128.91347349177332</v>
      </c>
      <c r="K480" s="2482"/>
      <c r="L480" s="2350"/>
      <c r="M480" s="2389" t="s">
        <v>2794</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4241</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1976</v>
      </c>
      <c r="C483" s="2357"/>
      <c r="D483" s="2486" t="s">
        <v>4240</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352578.35000000003</v>
      </c>
      <c r="F483" s="2488">
        <f>G483/B480</f>
        <v>4.9999950365642136E-2</v>
      </c>
      <c r="G483" s="2365">
        <f>'Part IV-A-Uses of Funds'!G47</f>
        <v>352578</v>
      </c>
      <c r="H483" s="2365">
        <f>'Part IV-A-Uses of Funds'!H47</f>
        <v>0</v>
      </c>
      <c r="I483" s="2350"/>
      <c r="J483" s="2365">
        <f>'Part IV-A-Uses of Funds'!J47</f>
        <v>352578</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4732</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2699</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3760</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3761</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2361</v>
      </c>
      <c r="C490" s="2350"/>
      <c r="D490" s="2350"/>
      <c r="E490" s="2350"/>
      <c r="F490" s="2350"/>
      <c r="G490" s="2365">
        <f>'Part IV-A-Uses of Funds'!G54</f>
        <v>68630</v>
      </c>
      <c r="H490" s="2365">
        <f>'Part IV-A-Uses of Funds'!H54</f>
        <v>0</v>
      </c>
      <c r="I490" s="2350"/>
      <c r="J490" s="2365">
        <f>'Part IV-A-Uses of Funds'!J54</f>
        <v>68630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2362</v>
      </c>
      <c r="C491" s="2350"/>
      <c r="D491" s="2350"/>
      <c r="E491" s="2350"/>
      <c r="F491" s="2350"/>
      <c r="G491" s="2365">
        <f>'Part IV-A-Uses of Funds'!G55</f>
        <v>241948</v>
      </c>
      <c r="H491" s="2365">
        <f>'Part IV-A-Uses of Funds'!H55</f>
        <v>0</v>
      </c>
      <c r="I491" s="2350"/>
      <c r="J491" s="2365">
        <f>'Part IV-A-Uses of Funds'!J55</f>
        <v>241948</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2363</v>
      </c>
      <c r="C492" s="2350"/>
      <c r="D492" s="2350"/>
      <c r="E492" s="2350"/>
      <c r="F492" s="2350"/>
      <c r="G492" s="2365">
        <f>'Part IV-A-Uses of Funds'!G56</f>
        <v>10000</v>
      </c>
      <c r="H492" s="2365">
        <f>'Part IV-A-Uses of Funds'!H56</f>
        <v>0</v>
      </c>
      <c r="I492" s="2350"/>
      <c r="J492" s="2365">
        <f>'Part IV-A-Uses of Funds'!J56</f>
        <v>10000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2703</v>
      </c>
      <c r="C493" s="2350"/>
      <c r="D493" s="2350"/>
      <c r="E493" s="2350"/>
      <c r="F493" s="2350"/>
      <c r="G493" s="2365">
        <f>'Part IV-A-Uses of Funds'!G57</f>
        <v>0</v>
      </c>
      <c r="H493" s="2365">
        <f>'Part IV-A-Uses of Funds'!H57</f>
        <v>0</v>
      </c>
      <c r="I493" s="2350"/>
      <c r="J493" s="2365">
        <f>'Part IV-A-Uses of Funds'!J57</f>
        <v>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1000</v>
      </c>
      <c r="H494" s="2365">
        <f>'Part IV-A-Uses of Funds'!H58</f>
        <v>0</v>
      </c>
      <c r="I494" s="2350"/>
      <c r="J494" s="2365">
        <f>'Part IV-A-Uses of Funds'!J58</f>
        <v>1000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2364</v>
      </c>
      <c r="C495" s="2350"/>
      <c r="D495" s="2350"/>
      <c r="E495" s="2350"/>
      <c r="F495" s="2350"/>
      <c r="G495" s="2365">
        <f>'Part IV-A-Uses of Funds'!G59</f>
        <v>12500</v>
      </c>
      <c r="H495" s="2365">
        <f>'Part IV-A-Uses of Funds'!H59</f>
        <v>0</v>
      </c>
      <c r="I495" s="2350"/>
      <c r="J495" s="2365">
        <f>'Part IV-A-Uses of Funds'!J59</f>
        <v>12500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25000</v>
      </c>
      <c r="H496" s="2365">
        <f>'Part IV-A-Uses of Funds'!H60</f>
        <v>0</v>
      </c>
      <c r="I496" s="2350"/>
      <c r="J496" s="2365">
        <f>'Part IV-A-Uses of Funds'!J60</f>
        <v>25000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359078</v>
      </c>
      <c r="H500" s="2365"/>
      <c r="I500" s="2350"/>
      <c r="J500" s="2365">
        <f>SUM(J488:K499)</f>
        <v>359078</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110000</v>
      </c>
      <c r="H502" s="2365">
        <f>'Part IV-A-Uses of Funds'!H66</f>
        <v>0</v>
      </c>
      <c r="I502" s="2350"/>
      <c r="J502" s="2365">
        <f>'Part IV-A-Uses of Funds'!J66</f>
        <v>110000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32500</v>
      </c>
      <c r="H503" s="2365">
        <f>'Part IV-A-Uses of Funds'!H67</f>
        <v>0</v>
      </c>
      <c r="I503" s="2350"/>
      <c r="J503" s="2365">
        <f>'Part IV-A-Uses of Funds'!J67</f>
        <v>32500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10000</v>
      </c>
      <c r="H505" s="2365">
        <f>'Part IV-A-Uses of Funds'!H69</f>
        <v>0</v>
      </c>
      <c r="I505" s="2350"/>
      <c r="J505" s="2365">
        <f>'Part IV-A-Uses of Funds'!J69</f>
        <v>10000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25000</v>
      </c>
      <c r="H506" s="2365">
        <f>'Part IV-A-Uses of Funds'!H70</f>
        <v>0</v>
      </c>
      <c r="I506" s="2350"/>
      <c r="J506" s="2365">
        <f>'Part IV-A-Uses of Funds'!J70</f>
        <v>25000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25000</v>
      </c>
      <c r="H507" s="2365">
        <f>'Part IV-A-Uses of Funds'!H71</f>
        <v>0</v>
      </c>
      <c r="I507" s="2350"/>
      <c r="J507" s="2365">
        <f>'Part IV-A-Uses of Funds'!J71</f>
        <v>25000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75000</v>
      </c>
      <c r="H508" s="2365">
        <f>'Part IV-A-Uses of Funds'!H72</f>
        <v>0</v>
      </c>
      <c r="I508" s="2350"/>
      <c r="J508" s="2365">
        <f>'Part IV-A-Uses of Funds'!J72</f>
        <v>75000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40000</v>
      </c>
      <c r="H509" s="2365">
        <f>'Part IV-A-Uses of Funds'!H73</f>
        <v>0</v>
      </c>
      <c r="I509" s="2350"/>
      <c r="J509" s="2365">
        <f>'Part IV-A-Uses of Funds'!J73</f>
        <v>20000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20000</v>
      </c>
      <c r="T509" s="2365">
        <f>'Part IV-A-Uses of Funds'!T73</f>
        <v>0</v>
      </c>
      <c r="U509" s="2350"/>
      <c r="V509" s="2464"/>
      <c r="W509" s="1329"/>
      <c r="X509" s="1329"/>
    </row>
    <row r="510" spans="1:24">
      <c r="A510" s="2350"/>
      <c r="B510" s="2350" t="s">
        <v>2064</v>
      </c>
      <c r="C510" s="2350"/>
      <c r="D510" s="2350"/>
      <c r="E510" s="2350"/>
      <c r="F510" s="2350"/>
      <c r="G510" s="2365">
        <f>'Part IV-A-Uses of Funds'!G74</f>
        <v>15000</v>
      </c>
      <c r="H510" s="2365">
        <f>'Part IV-A-Uses of Funds'!H74</f>
        <v>0</v>
      </c>
      <c r="I510" s="2350"/>
      <c r="J510" s="2365">
        <f>'Part IV-A-Uses of Funds'!J74</f>
        <v>15000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10000</v>
      </c>
      <c r="H511" s="2365">
        <f>'Part IV-A-Uses of Funds'!H75</f>
        <v>0</v>
      </c>
      <c r="I511" s="2350"/>
      <c r="J511" s="2365">
        <f>'Part IV-A-Uses of Funds'!J75</f>
        <v>10000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362500</v>
      </c>
      <c r="H513" s="2365"/>
      <c r="I513" s="2350"/>
      <c r="J513" s="2365">
        <f>SUM(J502:K512)</f>
        <v>342500</v>
      </c>
      <c r="K513" s="2365"/>
      <c r="L513" s="2380"/>
      <c r="M513" s="2365">
        <f>SUM(M502:N512)</f>
        <v>0</v>
      </c>
      <c r="N513" s="2365"/>
      <c r="O513" s="2350"/>
      <c r="P513" s="2365">
        <f>SUM(P502:Q512)</f>
        <v>0</v>
      </c>
      <c r="Q513" s="2365"/>
      <c r="R513" s="2350"/>
      <c r="S513" s="2365">
        <f>SUM(S502:T512)</f>
        <v>20000</v>
      </c>
      <c r="T513" s="2365"/>
      <c r="U513" s="2350"/>
      <c r="V513" s="2464">
        <f>SUM(V502:V512)</f>
        <v>0</v>
      </c>
      <c r="W513" s="1329"/>
      <c r="X513" s="1329"/>
    </row>
    <row r="514" spans="1:24">
      <c r="A514" s="2350"/>
      <c r="B514" s="2347" t="s">
        <v>1281</v>
      </c>
      <c r="C514" s="2350"/>
      <c r="D514" s="2492" t="s">
        <v>3762</v>
      </c>
      <c r="E514" s="2493">
        <f>G519/'Part VI-Revenues &amp; Expenses'!$O$62</f>
        <v>1819.72</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26705</v>
      </c>
      <c r="H515" s="2365">
        <f>'Part IV-A-Uses of Funds'!H79</f>
        <v>0</v>
      </c>
      <c r="I515" s="2350"/>
      <c r="J515" s="2365">
        <f>'Part IV-A-Uses of Funds'!J79</f>
        <v>26705</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17831</v>
      </c>
      <c r="H517" s="2365">
        <f>'Part IV-A-Uses of Funds'!H81</f>
        <v>0</v>
      </c>
      <c r="I517" s="2357"/>
      <c r="J517" s="2365">
        <f>'Part IV-A-Uses of Funds'!J81</f>
        <v>17831</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46450</v>
      </c>
      <c r="H518" s="2365">
        <f>'Part IV-A-Uses of Funds'!H82</f>
        <v>0</v>
      </c>
      <c r="I518" s="2357"/>
      <c r="J518" s="2365">
        <f>'Part IV-A-Uses of Funds'!J82</f>
        <v>46450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90986</v>
      </c>
      <c r="H519" s="2365"/>
      <c r="I519" s="2350"/>
      <c r="J519" s="2365">
        <f>SUM(J515:K518)</f>
        <v>90986</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0</v>
      </c>
      <c r="H521" s="2365">
        <f>'Part IV-A-Uses of Funds'!H85</f>
        <v>0</v>
      </c>
      <c r="I521" s="2350"/>
      <c r="J521" s="2365"/>
      <c r="K521" s="2365"/>
      <c r="L521" s="2380"/>
      <c r="M521" s="2365"/>
      <c r="N521" s="2365"/>
      <c r="O521" s="2350"/>
      <c r="P521" s="2365"/>
      <c r="Q521" s="2365"/>
      <c r="R521" s="2350"/>
      <c r="S521" s="2365">
        <f>'Part IV-A-Uses of Funds'!S85</f>
        <v>0</v>
      </c>
      <c r="T521" s="2365">
        <f>'Part IV-A-Uses of Funds'!T85</f>
        <v>0</v>
      </c>
      <c r="U521" s="2350"/>
      <c r="V521" s="2464"/>
      <c r="W521" s="1329"/>
      <c r="X521" s="1329"/>
    </row>
    <row r="522" spans="1:24">
      <c r="A522" s="2350"/>
      <c r="B522" s="2350" t="s">
        <v>1287</v>
      </c>
      <c r="C522" s="2350"/>
      <c r="D522" s="2350"/>
      <c r="E522" s="2350"/>
      <c r="F522" s="2350"/>
      <c r="G522" s="2365">
        <f>'Part IV-A-Uses of Funds'!G86</f>
        <v>0</v>
      </c>
      <c r="H522" s="2365">
        <f>'Part IV-A-Uses of Funds'!H86</f>
        <v>0</v>
      </c>
      <c r="I522" s="2350"/>
      <c r="J522" s="2365"/>
      <c r="K522" s="2365"/>
      <c r="L522" s="2380"/>
      <c r="M522" s="2365"/>
      <c r="N522" s="2365"/>
      <c r="O522" s="2350"/>
      <c r="P522" s="2365"/>
      <c r="Q522" s="2365"/>
      <c r="R522" s="2350"/>
      <c r="S522" s="2365">
        <f>'Part IV-A-Uses of Funds'!S86</f>
        <v>0</v>
      </c>
      <c r="T522" s="2365">
        <f>'Part IV-A-Uses of Funds'!T86</f>
        <v>0</v>
      </c>
      <c r="U522" s="2350"/>
      <c r="V522" s="2464"/>
      <c r="W522" s="1329"/>
      <c r="X522" s="1329"/>
    </row>
    <row r="523" spans="1:24">
      <c r="A523" s="2350"/>
      <c r="B523" s="2350" t="s">
        <v>1288</v>
      </c>
      <c r="C523" s="2350"/>
      <c r="D523" s="2350"/>
      <c r="E523" s="2350"/>
      <c r="F523" s="2350"/>
      <c r="G523" s="2365">
        <f>'Part IV-A-Uses of Funds'!G87</f>
        <v>0</v>
      </c>
      <c r="H523" s="2365">
        <f>'Part IV-A-Uses of Funds'!H87</f>
        <v>0</v>
      </c>
      <c r="I523" s="2350"/>
      <c r="J523" s="2365"/>
      <c r="K523" s="2365"/>
      <c r="L523" s="2380"/>
      <c r="M523" s="2365"/>
      <c r="N523" s="2365"/>
      <c r="O523" s="2350"/>
      <c r="P523" s="2365"/>
      <c r="Q523" s="2365"/>
      <c r="R523" s="2350"/>
      <c r="S523" s="2365">
        <f>'Part IV-A-Uses of Funds'!S87</f>
        <v>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2313</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0</v>
      </c>
      <c r="H527" s="2365"/>
      <c r="I527" s="2350"/>
      <c r="J527" s="2365"/>
      <c r="K527" s="2365"/>
      <c r="L527" s="2380"/>
      <c r="M527" s="2365"/>
      <c r="N527" s="2365"/>
      <c r="O527" s="2350"/>
      <c r="P527" s="2365"/>
      <c r="Q527" s="2365"/>
      <c r="R527" s="2350"/>
      <c r="S527" s="2365">
        <f>SUM(S521:T526)</f>
        <v>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4733</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2699</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3983</v>
      </c>
      <c r="C534" s="2350"/>
      <c r="D534" s="2350"/>
      <c r="E534" s="2350"/>
      <c r="F534" s="2350"/>
      <c r="G534" s="2365">
        <f>'Part IV-A-Uses of Funds'!G98</f>
        <v>1000</v>
      </c>
      <c r="H534" s="2365">
        <f>'Part IV-A-Uses of Funds'!H98</f>
        <v>0</v>
      </c>
      <c r="I534" s="2350"/>
      <c r="J534" s="2380"/>
      <c r="K534" s="2380"/>
      <c r="L534" s="2496"/>
      <c r="M534" s="2380"/>
      <c r="N534" s="2380"/>
      <c r="O534" s="2350"/>
      <c r="P534" s="2380"/>
      <c r="Q534" s="2380"/>
      <c r="R534" s="2350"/>
      <c r="S534" s="2365">
        <f>'Part IV-A-Uses of Funds'!S98</f>
        <v>1000</v>
      </c>
      <c r="T534" s="2365">
        <f>'Part IV-A-Uses of Funds'!T98</f>
        <v>0</v>
      </c>
      <c r="U534" s="2350"/>
      <c r="V534" s="2464"/>
      <c r="W534" s="1329"/>
      <c r="X534" s="1329"/>
    </row>
    <row r="535" spans="1:24">
      <c r="A535" s="2350"/>
      <c r="B535" s="2350" t="s">
        <v>524</v>
      </c>
      <c r="C535" s="2350"/>
      <c r="D535" s="2350"/>
      <c r="E535" s="2497">
        <f>'DCA Underwriting Assumptions'!$Q$88*J611</f>
        <v>68000</v>
      </c>
      <c r="F535" s="2497"/>
      <c r="G535" s="2365">
        <f>'Part IV-A-Uses of Funds'!G99</f>
        <v>68000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68000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536" s="2497"/>
      <c r="G536" s="2365">
        <f>'Part IV-A-Uses of Funds'!G100</f>
        <v>40000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40000</v>
      </c>
      <c r="T536" s="2365">
        <f>'Part IV-A-Uses of Funds'!T100</f>
        <v>0</v>
      </c>
      <c r="U536" s="2350"/>
      <c r="V536" s="2464"/>
      <c r="W536" s="1329"/>
      <c r="X536" s="1329"/>
    </row>
    <row r="537" spans="1:24">
      <c r="A537" s="2350"/>
      <c r="B537" s="2350" t="s">
        <v>4298</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4299</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121500</v>
      </c>
      <c r="H541" s="2365"/>
      <c r="I541" s="2350"/>
      <c r="J541" s="2380"/>
      <c r="K541" s="2380"/>
      <c r="L541" s="2380"/>
      <c r="M541" s="2380"/>
      <c r="N541" s="2380"/>
      <c r="O541" s="2350"/>
      <c r="P541" s="2380"/>
      <c r="Q541" s="2380"/>
      <c r="R541" s="2350"/>
      <c r="S541" s="2365">
        <f>SUM(S532:T540)</f>
        <v>121500</v>
      </c>
      <c r="T541" s="2365"/>
      <c r="U541" s="2350"/>
      <c r="V541" s="2464">
        <f>SUM(V532:V540)</f>
        <v>0</v>
      </c>
      <c r="W541" s="2500"/>
      <c r="X541" s="2500"/>
    </row>
    <row r="542" spans="1:24">
      <c r="A542" s="2350"/>
      <c r="B542" s="2347" t="s">
        <v>2314</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2500</v>
      </c>
      <c r="H543" s="2365">
        <f>'Part IV-A-Uses of Funds'!H107</f>
        <v>0</v>
      </c>
      <c r="I543" s="2350"/>
      <c r="J543" s="2365"/>
      <c r="K543" s="2365"/>
      <c r="L543" s="2380"/>
      <c r="M543" s="2365"/>
      <c r="N543" s="2365"/>
      <c r="O543" s="2350"/>
      <c r="P543" s="2365"/>
      <c r="Q543" s="2365"/>
      <c r="R543" s="2350"/>
      <c r="S543" s="2365">
        <f>'Part IV-A-Uses of Funds'!S107</f>
        <v>2500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2401</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2500</v>
      </c>
      <c r="H547" s="2365"/>
      <c r="I547" s="2350"/>
      <c r="J547" s="2365"/>
      <c r="K547" s="2365"/>
      <c r="L547" s="2380"/>
      <c r="M547" s="2365"/>
      <c r="N547" s="2365"/>
      <c r="O547" s="2350"/>
      <c r="P547" s="2365"/>
      <c r="Q547" s="2365"/>
      <c r="R547" s="2350"/>
      <c r="S547" s="2365">
        <f>SUM(S543:T546)</f>
        <v>2500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1873</v>
      </c>
      <c r="C549" s="2350"/>
      <c r="D549" s="2350"/>
      <c r="E549" s="2350"/>
      <c r="F549" s="2447">
        <f>IF($G$118=0,0,G549/$G$118)</f>
        <v>0</v>
      </c>
      <c r="G549" s="2365">
        <f>'Part IV-A-Uses of Funds'!G113</f>
        <v>253056</v>
      </c>
      <c r="H549" s="2365">
        <f>'Part IV-A-Uses of Funds'!H113</f>
        <v>0</v>
      </c>
      <c r="I549" s="2350"/>
      <c r="J549" s="2365">
        <f>'Part IV-A-Uses of Funds'!J113</f>
        <v>253056</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4250</v>
      </c>
      <c r="C550" s="2350"/>
      <c r="D550" s="2350"/>
      <c r="E550" s="2350"/>
      <c r="F550" s="2501">
        <f>'Part IV-A-Uses of Funds'!F114</f>
        <v>253056</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1874</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3658</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1866</v>
      </c>
      <c r="C553" s="2350"/>
      <c r="D553" s="2350"/>
      <c r="E553" s="2350"/>
      <c r="F553" s="2447">
        <f>IF($G$118=0,0,G553/$G$118)</f>
        <v>0</v>
      </c>
      <c r="G553" s="2365">
        <f>'Part IV-A-Uses of Funds'!G117</f>
        <v>1012225</v>
      </c>
      <c r="H553" s="2365">
        <f>'Part IV-A-Uses of Funds'!H117</f>
        <v>0</v>
      </c>
      <c r="I553" s="2350"/>
      <c r="J553" s="2365">
        <f>'Part IV-A-Uses of Funds'!J117</f>
        <v>1012225</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1265281</v>
      </c>
      <c r="H554" s="2365"/>
      <c r="I554" s="2350"/>
      <c r="J554" s="2365">
        <f>SUM(J549:K553)</f>
        <v>1265281</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20000</v>
      </c>
      <c r="H556" s="2365">
        <f>'Part IV-A-Uses of Funds'!H120</f>
        <v>0</v>
      </c>
      <c r="I556" s="2350"/>
      <c r="J556" s="2496"/>
      <c r="K556" s="2496"/>
      <c r="L556" s="2496"/>
      <c r="M556" s="2496"/>
      <c r="N556" s="2496"/>
      <c r="O556" s="2350"/>
      <c r="P556" s="2496"/>
      <c r="Q556" s="2496"/>
      <c r="R556" s="2350"/>
      <c r="S556" s="2365">
        <f>'Part IV-A-Uses of Funds'!S120</f>
        <v>20000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53062.5</v>
      </c>
      <c r="G557" s="2365">
        <f>'Part IV-A-Uses of Funds'!G121</f>
        <v>53063</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53063</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106125</v>
      </c>
      <c r="G558" s="2365">
        <f>'Part IV-A-Uses of Funds'!G122</f>
        <v>106125</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106125</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700</v>
      </c>
      <c r="G560" s="2365">
        <f>'Part IV-A-Uses of Funds'!G124</f>
        <v>35000</v>
      </c>
      <c r="H560" s="2365">
        <f>'Part IV-A-Uses of Funds'!H124</f>
        <v>0</v>
      </c>
      <c r="I560" s="2350"/>
      <c r="J560" s="2365">
        <f>'Part IV-A-Uses of Funds'!J124</f>
        <v>35000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214188</v>
      </c>
      <c r="H562" s="2365"/>
      <c r="I562" s="2350"/>
      <c r="J562" s="2365">
        <f>SUM(J560:K561)</f>
        <v>35000</v>
      </c>
      <c r="K562" s="2365"/>
      <c r="L562" s="2380"/>
      <c r="M562" s="2365">
        <f>SUM(M560:N561)</f>
        <v>0</v>
      </c>
      <c r="N562" s="2365"/>
      <c r="O562" s="2350"/>
      <c r="P562" s="2365">
        <f>SUM(P560:Q561)</f>
        <v>0</v>
      </c>
      <c r="Q562" s="2365"/>
      <c r="R562" s="2350"/>
      <c r="S562" s="2365">
        <f>SUM(S556:T561)</f>
        <v>179188</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4734</v>
      </c>
      <c r="C568" s="2350"/>
      <c r="D568" s="2350"/>
      <c r="E568" s="2350"/>
      <c r="F568" s="2350"/>
      <c r="G568" s="2506">
        <f>G453+G459+G463+G469+G474+G477+G483+G500+G513+G519+G527+G541+G547+G554+G562+G566</f>
        <v>10134678</v>
      </c>
      <c r="H568" s="2506"/>
      <c r="I568" s="2350"/>
      <c r="J568" s="2506">
        <f>J453+J459+J463+J469+J474+J477+J483+J500+J513+J519+J527+J541+J547+J554+J562+J566</f>
        <v>9421953</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712726</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4735</v>
      </c>
      <c r="C570" s="2479"/>
      <c r="D570" s="2508">
        <f>IF('Part VI-Revenues &amp; Expenses'!$O$62=0,0,G568/'Part VI-Revenues &amp; Expenses'!$O$62)</f>
        <v>202693.56</v>
      </c>
      <c r="E570" s="2508"/>
      <c r="F570" s="2495" t="s">
        <v>2780</v>
      </c>
      <c r="G570" s="2508">
        <f>IF('Part I-Project Information'!$P$71=0,0,G568/'Part I-Project Information'!$P$71)</f>
        <v>178.74211640211641</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2059</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2167</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1876</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1877</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1878</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2355</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9421953</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2235</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2236</v>
      </c>
      <c r="C587" s="2350"/>
      <c r="D587" s="2350"/>
      <c r="E587" s="2350"/>
      <c r="F587" s="2350"/>
      <c r="G587" s="2350"/>
      <c r="H587" s="2350"/>
      <c r="I587" s="2350"/>
      <c r="J587" s="2386">
        <f>J585-J586</f>
        <v>9421953</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2069</v>
      </c>
      <c r="C589" s="2350"/>
      <c r="D589" s="2350"/>
      <c r="E589" s="2350"/>
      <c r="F589" s="2350"/>
      <c r="G589" s="2350"/>
      <c r="H589" s="2350"/>
      <c r="I589" s="2350"/>
      <c r="J589" s="2386">
        <f>J587*J588</f>
        <v>12248538.9</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2557</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2060</v>
      </c>
      <c r="C591" s="2350"/>
      <c r="D591" s="2350"/>
      <c r="E591" s="2350"/>
      <c r="F591" s="2350"/>
      <c r="G591" s="2350"/>
      <c r="H591" s="2350"/>
      <c r="I591" s="2350"/>
      <c r="J591" s="2386">
        <f>J589*J590</f>
        <v>12248538.9</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2061</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2558</v>
      </c>
      <c r="C593" s="2350"/>
      <c r="D593" s="2350"/>
      <c r="E593" s="2350"/>
      <c r="F593" s="2350"/>
      <c r="G593" s="2350"/>
      <c r="H593" s="2350"/>
      <c r="I593" s="2350"/>
      <c r="J593" s="2386">
        <f>J591*J592</f>
        <v>1102368.5009999999</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1102368.5009999999</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4736</v>
      </c>
      <c r="C598" s="2350"/>
      <c r="D598" s="2350"/>
      <c r="E598" s="2350"/>
      <c r="F598" s="2350"/>
      <c r="G598" s="2473" t="str">
        <f>IF(J599&gt;J598,"TDC exceeds QAP PUCL!","")</f>
        <v/>
      </c>
      <c r="H598" s="2473"/>
      <c r="I598" s="2473"/>
      <c r="J598" s="2443">
        <f>'Part VIII-Threshold Criteria'!$P$63</f>
        <v>10137572</v>
      </c>
      <c r="K598" s="2443"/>
      <c r="L598" s="2443"/>
      <c r="M598" s="2517" t="s">
        <v>2763</v>
      </c>
      <c r="N598" s="2517"/>
      <c r="O598" s="2517"/>
      <c r="P598" s="2517"/>
      <c r="Q598" s="2517"/>
      <c r="R598" s="2517"/>
      <c r="S598" s="2517" t="s">
        <v>3699</v>
      </c>
      <c r="T598" s="2517"/>
      <c r="U598" s="2350"/>
      <c r="V598" s="2464"/>
      <c r="W598" s="1329"/>
      <c r="X598" s="1329"/>
    </row>
    <row r="599" spans="1:24">
      <c r="A599" s="2350"/>
      <c r="B599" s="2350" t="s">
        <v>4737</v>
      </c>
      <c r="C599" s="2350"/>
      <c r="D599" s="2350"/>
      <c r="E599" s="2350"/>
      <c r="F599" s="2350"/>
      <c r="G599" s="2350"/>
      <c r="H599" s="2350"/>
      <c r="I599" s="2350"/>
      <c r="J599" s="2386">
        <f>'Part IV-A-Uses of Funds'!J163</f>
        <v>10134678</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110</v>
      </c>
      <c r="K600" s="2386"/>
      <c r="L600" s="2386"/>
      <c r="M600" s="2517"/>
      <c r="N600" s="2517"/>
      <c r="O600" s="2517"/>
      <c r="P600" s="2517"/>
      <c r="Q600" s="2517"/>
      <c r="R600" s="2517"/>
      <c r="S600" s="2517"/>
      <c r="T600" s="2517"/>
      <c r="U600" s="2350"/>
      <c r="V600" s="2464"/>
      <c r="W600" s="1329"/>
      <c r="X600" s="1329"/>
    </row>
    <row r="601" spans="1:24" ht="13.5">
      <c r="A601" s="2350"/>
      <c r="B601" s="2350" t="s">
        <v>2247</v>
      </c>
      <c r="C601" s="2350"/>
      <c r="D601" s="2350"/>
      <c r="E601" s="2350"/>
      <c r="F601" s="2350"/>
      <c r="G601" s="2350"/>
      <c r="H601" s="2350"/>
      <c r="I601" s="2350"/>
      <c r="J601" s="2386">
        <f>+J599-J600</f>
        <v>10134568</v>
      </c>
      <c r="K601" s="2386"/>
      <c r="L601" s="2386"/>
      <c r="M601" s="2362" t="s">
        <v>2764</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1013456.8</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4738</v>
      </c>
      <c r="C604" s="2350"/>
      <c r="D604" s="2350"/>
      <c r="E604" s="2350"/>
      <c r="F604" s="2350"/>
      <c r="G604" s="2350"/>
      <c r="H604" s="2350"/>
      <c r="I604" s="2350"/>
      <c r="J604" s="2521">
        <f>N604+Q604</f>
        <v>1.19</v>
      </c>
      <c r="K604" s="2521"/>
      <c r="L604" s="2521"/>
      <c r="M604" s="2355" t="s">
        <v>1301</v>
      </c>
      <c r="N604" s="2522">
        <f>'Part IV-A-Uses of Funds'!N168</f>
        <v>0.84</v>
      </c>
      <c r="O604" s="2522">
        <f>'Part IV-A-Uses of Funds'!O168</f>
        <v>0</v>
      </c>
      <c r="P604" s="2355" t="s">
        <v>618</v>
      </c>
      <c r="Q604" s="2522">
        <f>'Part IV-A-Uses of Funds'!Q168</f>
        <v>0.35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851644.36974789924</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4739</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4740</v>
      </c>
      <c r="C609" s="2350"/>
      <c r="D609" s="2350"/>
      <c r="E609" s="2350"/>
      <c r="F609" s="2350"/>
      <c r="G609" s="2350"/>
      <c r="H609" s="2350"/>
      <c r="I609" s="2350"/>
      <c r="J609" s="2445">
        <f>'Part IV-A-Uses of Funds'!J173</f>
        <v>850000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4741</v>
      </c>
      <c r="C611" s="2350"/>
      <c r="D611" s="2357"/>
      <c r="E611" s="2357"/>
      <c r="F611" s="2358"/>
      <c r="G611" s="2350"/>
      <c r="H611" s="2350"/>
      <c r="I611" s="2350"/>
      <c r="J611" s="2445">
        <f>IF(J609="",0,+MIN(J607,J609))</f>
        <v>850000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The applicant has budgeted $14,890 for the off-site road improvements for Site Access from 8th Street. The $14,890 represents the costs associated with improving the public road. The remaining $36,000 in offsite costs accounts for the emergency secondary access.
Please see Tab 1 for documentation of local government fees.</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2709</v>
      </c>
      <c r="X615" s="2524"/>
    </row>
    <row r="623" spans="1:24" ht="15.75">
      <c r="A623" s="2525" t="str">
        <f>CONCATENATE("PART FOUR (b) -  OTHER COSTS","  -  ",'Part I-Project Information'!$O$6," - ",'Part I-Project Information'!$F$34,"  -  ",'Part I-Project Information'!$F$38,"  -  ",'Part I-Project Information'!$J$39,",  ","County")</f>
        <v>PART FOUR (b) -  OTHER COSTS  -  2018-030 - Sparrow Pointe at Forest Hill  -  Moultrie  -  Colquitt,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3740</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4742</v>
      </c>
      <c r="B627" s="2528"/>
      <c r="C627" s="2528"/>
      <c r="D627" s="2528"/>
      <c r="E627" s="2526"/>
      <c r="F627" s="2529" t="s">
        <v>3731</v>
      </c>
      <c r="G627" s="2530"/>
      <c r="H627" s="2529" t="s">
        <v>3732</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3734</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3734</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3734</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3733</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3734</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3734</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3734</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3734</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3734</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4743</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3734</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3734</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4744</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3734</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3734</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4745</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3734</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2018-030 Sparrow Pointe at Forest Hill,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South</v>
      </c>
    </row>
    <row r="714" spans="1:13">
      <c r="A714" s="2545" t="s">
        <v>3833</v>
      </c>
    </row>
    <row r="716" spans="1:13" ht="51">
      <c r="A716" s="2546" t="s">
        <v>622</v>
      </c>
      <c r="B716" s="2546" t="s">
        <v>2242</v>
      </c>
      <c r="F716" s="683" t="s">
        <v>2535</v>
      </c>
      <c r="I716" s="2547" t="str">
        <f>'Part V-Utility Allowances'!I7</f>
        <v>GA Department of Community Affairs - Georgia South</v>
      </c>
      <c r="J716" s="2547"/>
      <c r="K716" s="2547"/>
      <c r="L716" s="2547"/>
      <c r="M716" s="2547"/>
    </row>
    <row r="717" spans="1:13">
      <c r="A717" s="2546"/>
      <c r="F717" s="683" t="s">
        <v>642</v>
      </c>
      <c r="I717" s="2548" t="str">
        <f>'Part V-Utility Allowances'!I8</f>
        <v>1.1.2018</v>
      </c>
      <c r="J717" s="2548">
        <f>'Part V-Utility Allowances'!J8</f>
        <v>0</v>
      </c>
      <c r="K717" s="2549" t="s">
        <v>545</v>
      </c>
      <c r="L717" s="2441" t="str">
        <f>'Part V-Utility Allowances'!L8</f>
        <v>Townhome</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1863</v>
      </c>
      <c r="H720" s="2546"/>
      <c r="I720" s="2551" t="s">
        <v>573</v>
      </c>
      <c r="J720" s="2551">
        <v>1</v>
      </c>
      <c r="K720" s="2551">
        <v>2</v>
      </c>
      <c r="L720" s="2551">
        <v>3</v>
      </c>
      <c r="M720" s="2551">
        <v>4</v>
      </c>
    </row>
    <row r="721" spans="1:13">
      <c r="B721" s="683" t="s">
        <v>1865</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11</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18</v>
      </c>
      <c r="L723" s="2549">
        <f>'Part V-Utility Allowances'!L14</f>
        <v>23</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12</v>
      </c>
      <c r="K724" s="2549">
        <f>'Part V-Utility Allowances'!K15</f>
        <v>15</v>
      </c>
      <c r="L724" s="2549">
        <f>'Part V-Utility Allowances'!L15</f>
        <v>18</v>
      </c>
      <c r="M724" s="2549">
        <f>'Part V-Utility Allowances'!M15</f>
        <v>0</v>
      </c>
    </row>
    <row r="725" spans="1:13">
      <c r="B725" s="683" t="s">
        <v>3830</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33</v>
      </c>
      <c r="M727" s="2549">
        <f>'Part V-Utility Allowances'!M18</f>
        <v>0</v>
      </c>
    </row>
    <row r="728" spans="1:13">
      <c r="B728" s="683" t="s">
        <v>1382</v>
      </c>
      <c r="D728" s="683" t="s">
        <v>4544</v>
      </c>
      <c r="E728" s="2549" t="str">
        <f>'Part V-Utility Allowances'!E19</f>
        <v>Yes</v>
      </c>
      <c r="F728" s="2552" t="str">
        <f>'Part V-Utility Allowances'!F19</f>
        <v>X</v>
      </c>
      <c r="G728" s="2552">
        <f>'Part V-Utility Allowances'!G19</f>
        <v>0</v>
      </c>
      <c r="I728" s="2549">
        <f>'Part V-Utility Allowances'!I19</f>
        <v>0</v>
      </c>
      <c r="J728" s="2549">
        <f>'Part V-Utility Allowances'!J19</f>
        <v>38</v>
      </c>
      <c r="K728" s="2549">
        <f>'Part V-Utility Allowances'!K19</f>
        <v>47</v>
      </c>
      <c r="L728" s="2549">
        <f>'Part V-Utility Allowances'!L19</f>
        <v>57</v>
      </c>
      <c r="M728" s="2549">
        <f>'Part V-Utility Allowances'!M19</f>
        <v>0</v>
      </c>
    </row>
    <row r="729" spans="1:13">
      <c r="B729" s="683" t="s">
        <v>1864</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96</v>
      </c>
      <c r="K730" s="2551">
        <f>IF(SUM(K721:K729)=0,0,IF(OR($D721="&lt;&lt;Select Fuel &gt;&gt;",$D722="&lt;&lt;Select Fuel &gt;&gt;",$D723="&lt;&lt;Select Fuel &gt;&gt;"),"Select Fuel",IF($E728="&lt;Select&gt;","Submeter?",SUM(K721:K729))))</f>
        <v>121</v>
      </c>
      <c r="L730" s="2551">
        <f>IF(SUM(L721:L729)=0,0,IF(OR($D721="&lt;&lt;Select Fuel &gt;&gt;",$D722="&lt;&lt;Select Fuel &gt;&gt;",$D723="&lt;&lt;Select Fuel &gt;&gt;"),"Select Fuel",IF($E728="&lt;Select&gt;","Submeter?",SUM(L721:L729))))</f>
        <v>148</v>
      </c>
      <c r="M730" s="2551">
        <f>IF(SUM(M721:M729)=0,0,IF(OR($D721="&lt;&lt;Select Fuel &gt;&gt;",$D722="&lt;&lt;Select Fuel &gt;&gt;",$D723="&lt;&lt;Select Fuel &gt;&gt;"),"Select Fuel",IF($E728="&lt;Select&gt;","Submeter?",SUM(M721:M729))))</f>
        <v>0</v>
      </c>
    </row>
    <row r="732" spans="1:13" ht="38.25">
      <c r="A732" s="2546" t="s">
        <v>748</v>
      </c>
      <c r="B732" s="2546" t="s">
        <v>2243</v>
      </c>
      <c r="F732" s="683" t="s">
        <v>2535</v>
      </c>
      <c r="I732" s="2547" t="str">
        <f>'Part V-Utility Allowances'!I23</f>
        <v>Georgia DCA - Southern Region</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43101</v>
      </c>
      <c r="J733" s="2548">
        <f>'Part V-Utility Allowances'!J24</f>
        <v>0</v>
      </c>
      <c r="K733" s="2549" t="s">
        <v>545</v>
      </c>
      <c r="L733" s="2441" t="str">
        <f>'Part V-Utility Allowances'!L24</f>
        <v>Townhome</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1863</v>
      </c>
      <c r="H736" s="2546"/>
      <c r="I736" s="2551" t="s">
        <v>573</v>
      </c>
      <c r="J736" s="2551">
        <v>1</v>
      </c>
      <c r="K736" s="2551">
        <v>2</v>
      </c>
      <c r="L736" s="2551">
        <v>3</v>
      </c>
      <c r="M736" s="2551">
        <v>4</v>
      </c>
    </row>
    <row r="737" spans="1:13">
      <c r="B737" s="683" t="s">
        <v>1865</v>
      </c>
      <c r="D737" s="2441" t="str">
        <f>'Part V-Utility Allowances'!D28</f>
        <v>Electric Heat Pump</v>
      </c>
      <c r="E737" s="2441">
        <f>'Part V-Utility Allowances'!E28</f>
        <v>0</v>
      </c>
      <c r="F737" s="2552" t="str">
        <f>'Part V-Utility Allowances'!F28</f>
        <v>X</v>
      </c>
      <c r="G737" s="2552">
        <f>'Part V-Utility Allowances'!G28</f>
        <v>0</v>
      </c>
      <c r="I737" s="2549">
        <f>'Part V-Utility Allowances'!I28</f>
        <v>0</v>
      </c>
      <c r="J737" s="2549">
        <f>'Part V-Utility Allowances'!J28</f>
        <v>4</v>
      </c>
      <c r="K737" s="2549">
        <f>'Part V-Utility Allowances'!K28</f>
        <v>5</v>
      </c>
      <c r="L737" s="2549">
        <f>'Part V-Utility Allowances'!L28</f>
        <v>6</v>
      </c>
      <c r="M737" s="2549">
        <f>'Part V-Utility Allowances'!M28</f>
        <v>0</v>
      </c>
    </row>
    <row r="738" spans="1:13">
      <c r="B738" s="683" t="s">
        <v>1609</v>
      </c>
      <c r="D738" s="2441" t="str">
        <f>'Part V-Utility Allowances'!D29</f>
        <v>Electric</v>
      </c>
      <c r="E738" s="2441">
        <f>'Part V-Utility Allowances'!E29</f>
        <v>0</v>
      </c>
      <c r="F738" s="2552" t="str">
        <f>'Part V-Utility Allowances'!F29</f>
        <v>X</v>
      </c>
      <c r="G738" s="2552">
        <f>'Part V-Utility Allowances'!G29</f>
        <v>0</v>
      </c>
      <c r="I738" s="2549">
        <f>'Part V-Utility Allowances'!I29</f>
        <v>0</v>
      </c>
      <c r="J738" s="2549">
        <f>'Part V-Utility Allowances'!J29</f>
        <v>7</v>
      </c>
      <c r="K738" s="2549">
        <f>'Part V-Utility Allowances'!K29</f>
        <v>9</v>
      </c>
      <c r="L738" s="2549">
        <f>'Part V-Utility Allowances'!L29</f>
        <v>11</v>
      </c>
      <c r="M738" s="2549">
        <f>'Part V-Utility Allowances'!M29</f>
        <v>0</v>
      </c>
    </row>
    <row r="739" spans="1:13">
      <c r="B739" s="683" t="s">
        <v>1610</v>
      </c>
      <c r="D739" s="2441" t="str">
        <f>'Part V-Utility Allowances'!D30</f>
        <v>Electric</v>
      </c>
      <c r="E739" s="2441">
        <f>'Part V-Utility Allowances'!E30</f>
        <v>0</v>
      </c>
      <c r="F739" s="2552" t="str">
        <f>'Part V-Utility Allowances'!F30</f>
        <v>X</v>
      </c>
      <c r="G739" s="2552">
        <f>'Part V-Utility Allowances'!G30</f>
        <v>0</v>
      </c>
      <c r="I739" s="2549">
        <f>'Part V-Utility Allowances'!I30</f>
        <v>0</v>
      </c>
      <c r="J739" s="2549">
        <f>'Part V-Utility Allowances'!J30</f>
        <v>14</v>
      </c>
      <c r="K739" s="2549">
        <f>'Part V-Utility Allowances'!K30</f>
        <v>18</v>
      </c>
      <c r="L739" s="2549">
        <f>'Part V-Utility Allowances'!L30</f>
        <v>23</v>
      </c>
      <c r="M739" s="2549">
        <f>'Part V-Utility Allowances'!M30</f>
        <v>0</v>
      </c>
    </row>
    <row r="740" spans="1:13">
      <c r="B740" s="683" t="s">
        <v>471</v>
      </c>
      <c r="D740" s="683" t="s">
        <v>1608</v>
      </c>
      <c r="F740" s="2552" t="str">
        <f>'Part V-Utility Allowances'!F31</f>
        <v>X</v>
      </c>
      <c r="G740" s="2552">
        <f>'Part V-Utility Allowances'!G31</f>
        <v>0</v>
      </c>
      <c r="I740" s="2549">
        <f>'Part V-Utility Allowances'!I31</f>
        <v>0</v>
      </c>
      <c r="J740" s="2549">
        <f>'Part V-Utility Allowances'!J31</f>
        <v>12</v>
      </c>
      <c r="K740" s="2549">
        <f>'Part V-Utility Allowances'!K31</f>
        <v>15</v>
      </c>
      <c r="L740" s="2549">
        <f>'Part V-Utility Allowances'!L31</f>
        <v>18</v>
      </c>
      <c r="M740" s="2549">
        <f>'Part V-Utility Allowances'!M31</f>
        <v>0</v>
      </c>
    </row>
    <row r="741" spans="1:13">
      <c r="B741" s="683" t="s">
        <v>3830</v>
      </c>
      <c r="D741" s="683" t="s">
        <v>1608</v>
      </c>
      <c r="F741" s="2552">
        <f>'Part V-Utility Allowances'!F32</f>
        <v>0</v>
      </c>
      <c r="G741" s="2552" t="str">
        <f>'Part V-Utility Allowances'!G32</f>
        <v>X</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t="str">
        <f>'Part V-Utility Allowances'!G33</f>
        <v>X</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t="str">
        <f>'Part V-Utility Allowances'!F34</f>
        <v>X</v>
      </c>
      <c r="G743" s="2552">
        <f>'Part V-Utility Allowances'!G34</f>
        <v>0</v>
      </c>
      <c r="I743" s="2549">
        <f>'Part V-Utility Allowances'!I34</f>
        <v>0</v>
      </c>
      <c r="J743" s="2549">
        <f>'Part V-Utility Allowances'!J34</f>
        <v>21</v>
      </c>
      <c r="K743" s="2549">
        <f>'Part V-Utility Allowances'!K34</f>
        <v>27</v>
      </c>
      <c r="L743" s="2549">
        <f>'Part V-Utility Allowances'!L34</f>
        <v>33</v>
      </c>
      <c r="M743" s="2549">
        <f>'Part V-Utility Allowances'!M34</f>
        <v>0</v>
      </c>
    </row>
    <row r="744" spans="1:13">
      <c r="B744" s="683" t="s">
        <v>1382</v>
      </c>
      <c r="D744" s="683" t="s">
        <v>4544</v>
      </c>
      <c r="E744" s="2549" t="str">
        <f>'Part V-Utility Allowances'!E35</f>
        <v>Yes</v>
      </c>
      <c r="F744" s="2552" t="str">
        <f>'Part V-Utility Allowances'!F35</f>
        <v>X</v>
      </c>
      <c r="G744" s="2552">
        <f>'Part V-Utility Allowances'!G35</f>
        <v>0</v>
      </c>
      <c r="I744" s="2549">
        <f>'Part V-Utility Allowances'!I35</f>
        <v>0</v>
      </c>
      <c r="J744" s="2549">
        <f>'Part V-Utility Allowances'!J35</f>
        <v>38</v>
      </c>
      <c r="K744" s="2549">
        <f>'Part V-Utility Allowances'!K35</f>
        <v>47</v>
      </c>
      <c r="L744" s="2549">
        <f>'Part V-Utility Allowances'!L35</f>
        <v>57</v>
      </c>
      <c r="M744" s="2549">
        <f>'Part V-Utility Allowances'!M35</f>
        <v>0</v>
      </c>
    </row>
    <row r="745" spans="1:13">
      <c r="B745" s="683" t="s">
        <v>1864</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96</v>
      </c>
      <c r="K746" s="2551">
        <f>IF(SUM(K737:K745)=0,0,IF(OR($D737="&lt;&lt;Select Fuel &gt;&gt;",$D739="&lt;&lt;Select Fuel &gt;&gt;",$D740="&lt;&lt;Select Fuel &gt;&gt;"),"Select Fuel",IF($E744="&lt;Select&gt;","Submeter?",SUM(K737:K745))))</f>
        <v>121</v>
      </c>
      <c r="L746" s="2551">
        <f>IF(SUM(L737:L745)=0,0,IF(OR($D737="&lt;&lt;Select Fuel &gt;&gt;",$D739="&lt;&lt;Select Fuel &gt;&gt;",$D740="&lt;&lt;Select Fuel &gt;&gt;"),"Select Fuel",IF($E744="&lt;Select&gt;","Submeter?",SUM(L737:L745))))</f>
        <v>148</v>
      </c>
      <c r="M746" s="2551">
        <f>IF(SUM(M737:M745)=0,0,IF(OR($D737="&lt;&lt;Select Fuel &gt;&gt;",$D739="&lt;&lt;Select Fuel &gt;&gt;",$D740="&lt;&lt;Select Fuel &gt;&gt;"),"Select Fuel",IF($E744="&lt;Select&gt;","Submeter?",SUM(M737:M745))))</f>
        <v>0</v>
      </c>
    </row>
    <row r="748" spans="1:13">
      <c r="B748" s="1156" t="s">
        <v>4545</v>
      </c>
      <c r="F748" s="2549"/>
      <c r="G748" s="2549"/>
      <c r="I748" s="2551"/>
      <c r="J748" s="2551"/>
      <c r="K748" s="2551"/>
      <c r="L748" s="2551"/>
      <c r="M748" s="2551"/>
    </row>
    <row r="749" spans="1:13">
      <c r="A749" s="2546"/>
      <c r="B749" s="2546" t="s">
        <v>577</v>
      </c>
    </row>
    <row r="750" spans="1:13" ht="216">
      <c r="B750" s="1329" t="str">
        <f>'Part V-Utility Allowances'!B41</f>
        <v>Applicant has used the GA DCA - Southern Region utility allowances for Semi-Detached/Row Houses. Pleas see Tab 01 of the application for documentation of the applicable utility allowances.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1858</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2018-030 Sparrow Pointe at Forest Hill,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2018-030 Sparrow Pointe at Forest Hill,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2381</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2455</v>
      </c>
      <c r="FD760" s="2554" t="s">
        <v>2456</v>
      </c>
      <c r="FE760" s="2554" t="s">
        <v>2457</v>
      </c>
      <c r="FF760" s="2554" t="s">
        <v>2458</v>
      </c>
      <c r="FG760" s="2554" t="s">
        <v>490</v>
      </c>
      <c r="FH760" s="2554" t="s">
        <v>2455</v>
      </c>
      <c r="FI760" s="2554" t="s">
        <v>2456</v>
      </c>
      <c r="FJ760" s="2554" t="s">
        <v>2457</v>
      </c>
      <c r="FK760" s="2554" t="s">
        <v>2458</v>
      </c>
      <c r="FL760" s="2556"/>
      <c r="FM760" s="2556"/>
      <c r="FN760" s="2556"/>
      <c r="FO760" s="2556"/>
      <c r="FP760" s="2556"/>
      <c r="FQ760" s="2556"/>
      <c r="FR760" s="2556"/>
      <c r="FS760" s="2556"/>
      <c r="FT760" s="2556"/>
      <c r="FU760" s="2556"/>
      <c r="FV760" s="2554" t="s">
        <v>490</v>
      </c>
      <c r="FW760" s="2554" t="s">
        <v>2455</v>
      </c>
      <c r="FX760" s="2554" t="s">
        <v>2456</v>
      </c>
      <c r="FY760" s="2554" t="s">
        <v>2457</v>
      </c>
      <c r="FZ760" s="2554" t="s">
        <v>2458</v>
      </c>
      <c r="GA760" s="2554" t="s">
        <v>490</v>
      </c>
      <c r="GB760" s="2554" t="s">
        <v>2455</v>
      </c>
      <c r="GC760" s="2554" t="s">
        <v>2456</v>
      </c>
      <c r="GD760" s="2554" t="s">
        <v>2457</v>
      </c>
      <c r="GE760" s="2554" t="s">
        <v>2458</v>
      </c>
      <c r="GF760" s="2554" t="s">
        <v>490</v>
      </c>
      <c r="GG760" s="2554" t="s">
        <v>2455</v>
      </c>
      <c r="GH760" s="2554" t="s">
        <v>2456</v>
      </c>
      <c r="GI760" s="2554" t="s">
        <v>2457</v>
      </c>
      <c r="GJ760" s="2554" t="s">
        <v>2458</v>
      </c>
      <c r="GK760" s="2554" t="s">
        <v>490</v>
      </c>
      <c r="GL760" s="2554" t="s">
        <v>2455</v>
      </c>
      <c r="GM760" s="2554" t="s">
        <v>2456</v>
      </c>
      <c r="GN760" s="2554" t="s">
        <v>2457</v>
      </c>
      <c r="GO760" s="2554" t="s">
        <v>2458</v>
      </c>
      <c r="GP760" s="2554" t="s">
        <v>490</v>
      </c>
      <c r="GQ760" s="2554" t="s">
        <v>2455</v>
      </c>
      <c r="GR760" s="2554" t="s">
        <v>2456</v>
      </c>
      <c r="GS760" s="2554" t="s">
        <v>2457</v>
      </c>
      <c r="GT760" s="2554" t="s">
        <v>2458</v>
      </c>
      <c r="GU760" s="2554" t="s">
        <v>490</v>
      </c>
      <c r="GV760" s="2554" t="s">
        <v>2455</v>
      </c>
      <c r="GW760" s="2554" t="s">
        <v>2456</v>
      </c>
      <c r="GX760" s="2554" t="s">
        <v>2457</v>
      </c>
      <c r="GY760" s="2554" t="s">
        <v>2458</v>
      </c>
      <c r="GZ760" s="2554" t="s">
        <v>490</v>
      </c>
      <c r="HA760" s="2554" t="s">
        <v>2455</v>
      </c>
      <c r="HB760" s="2554" t="s">
        <v>2456</v>
      </c>
      <c r="HC760" s="2554" t="s">
        <v>2457</v>
      </c>
      <c r="HD760" s="2554" t="s">
        <v>2458</v>
      </c>
      <c r="HE760" s="2554" t="s">
        <v>490</v>
      </c>
      <c r="HF760" s="2554" t="s">
        <v>2455</v>
      </c>
      <c r="HG760" s="2554" t="s">
        <v>2456</v>
      </c>
      <c r="HH760" s="2554" t="s">
        <v>2457</v>
      </c>
      <c r="HI760" s="2554" t="s">
        <v>2458</v>
      </c>
      <c r="HJ760" s="2554" t="s">
        <v>490</v>
      </c>
      <c r="HK760" s="2554" t="s">
        <v>2455</v>
      </c>
      <c r="HL760" s="2554" t="s">
        <v>2456</v>
      </c>
      <c r="HM760" s="2554" t="s">
        <v>2457</v>
      </c>
      <c r="HN760" s="2554" t="s">
        <v>2458</v>
      </c>
      <c r="HO760" s="2554" t="s">
        <v>490</v>
      </c>
      <c r="HP760" s="2554" t="s">
        <v>2455</v>
      </c>
      <c r="HQ760" s="2554" t="s">
        <v>2456</v>
      </c>
      <c r="HR760" s="2554" t="s">
        <v>2457</v>
      </c>
      <c r="HS760" s="2554" t="s">
        <v>2458</v>
      </c>
      <c r="HT760" s="2554" t="s">
        <v>490</v>
      </c>
      <c r="HU760" s="2554" t="s">
        <v>2455</v>
      </c>
      <c r="HV760" s="2554" t="s">
        <v>2456</v>
      </c>
      <c r="HW760" s="2554" t="s">
        <v>2457</v>
      </c>
      <c r="HX760" s="2554" t="s">
        <v>2458</v>
      </c>
      <c r="HY760" s="2554" t="s">
        <v>490</v>
      </c>
      <c r="HZ760" s="2554" t="s">
        <v>2455</v>
      </c>
      <c r="IA760" s="2554" t="s">
        <v>2456</v>
      </c>
      <c r="IB760" s="2554" t="s">
        <v>2457</v>
      </c>
      <c r="IC760" s="2554" t="s">
        <v>2458</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3443</v>
      </c>
      <c r="JD760" s="2547" t="s">
        <v>3444</v>
      </c>
      <c r="JE760" s="2547" t="s">
        <v>3445</v>
      </c>
      <c r="JF760" s="2547" t="s">
        <v>3446</v>
      </c>
      <c r="JG760" s="2547" t="s">
        <v>3447</v>
      </c>
    </row>
    <row r="761" spans="1:277" s="2354" customFormat="1" ht="3" customHeight="1">
      <c r="B761" s="2543"/>
      <c r="D761" s="2543"/>
      <c r="P761" s="2557" t="s">
        <v>4746</v>
      </c>
      <c r="Q761" s="2558"/>
      <c r="R761" s="2559"/>
      <c r="S761" s="2559"/>
      <c r="T761" s="2559"/>
      <c r="U761" s="2559"/>
      <c r="W761" s="2477" t="s">
        <v>928</v>
      </c>
      <c r="X761" s="2477" t="s">
        <v>764</v>
      </c>
      <c r="Y761" s="2477" t="s">
        <v>765</v>
      </c>
      <c r="Z761" s="2477" t="s">
        <v>766</v>
      </c>
      <c r="AA761" s="2477" t="s">
        <v>767</v>
      </c>
      <c r="AB761" s="2477" t="s">
        <v>929</v>
      </c>
      <c r="AC761" s="2477" t="s">
        <v>2325</v>
      </c>
      <c r="AD761" s="2477" t="s">
        <v>2326</v>
      </c>
      <c r="AE761" s="2477" t="s">
        <v>2327</v>
      </c>
      <c r="AF761" s="2477" t="s">
        <v>2328</v>
      </c>
      <c r="AG761" s="2477" t="s">
        <v>930</v>
      </c>
      <c r="AH761" s="2477" t="s">
        <v>2329</v>
      </c>
      <c r="AI761" s="2477" t="s">
        <v>2330</v>
      </c>
      <c r="AJ761" s="2477" t="s">
        <v>2331</v>
      </c>
      <c r="AK761" s="2477" t="s">
        <v>2332</v>
      </c>
      <c r="AL761" s="2477" t="s">
        <v>130</v>
      </c>
      <c r="AM761" s="2477" t="s">
        <v>2333</v>
      </c>
      <c r="AN761" s="2477" t="s">
        <v>2334</v>
      </c>
      <c r="AO761" s="2477" t="s">
        <v>2335</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2445</v>
      </c>
      <c r="BV761" s="2477" t="s">
        <v>2446</v>
      </c>
      <c r="BW761" s="2477" t="s">
        <v>2447</v>
      </c>
      <c r="BX761" s="2477" t="s">
        <v>2448</v>
      </c>
      <c r="BY761" s="2477" t="s">
        <v>2449</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2444</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2223</v>
      </c>
      <c r="EN761" s="2547" t="s">
        <v>2224</v>
      </c>
      <c r="EO761" s="2547" t="s">
        <v>2225</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2539</v>
      </c>
      <c r="IF761" s="2547" t="s">
        <v>2540</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1859</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3438</v>
      </c>
      <c r="JI762" s="2559" t="s">
        <v>3439</v>
      </c>
      <c r="JJ762" s="2559" t="s">
        <v>3440</v>
      </c>
      <c r="JK762" s="2559" t="s">
        <v>3441</v>
      </c>
      <c r="JL762" s="2559" t="s">
        <v>3442</v>
      </c>
      <c r="JM762" s="2547" t="s">
        <v>3452</v>
      </c>
      <c r="JN762" s="2547" t="s">
        <v>3454</v>
      </c>
      <c r="JO762" s="2547" t="s">
        <v>3455</v>
      </c>
      <c r="JP762" s="2547" t="s">
        <v>3456</v>
      </c>
      <c r="JQ762" s="2547" t="s">
        <v>3457</v>
      </c>
    </row>
    <row r="763" spans="1:277" s="2354" customFormat="1" ht="13.15" customHeight="1">
      <c r="A763" s="2560"/>
      <c r="B763" s="2563" t="s">
        <v>1818</v>
      </c>
      <c r="E763" s="2543"/>
      <c r="F763" s="2549" t="str">
        <f>'Part VI-Revenues &amp; Expenses'!F6</f>
        <v>No</v>
      </c>
      <c r="G763" s="2561" t="s">
        <v>3689</v>
      </c>
      <c r="H763" s="2557" t="s">
        <v>3919</v>
      </c>
      <c r="I763" s="2561" t="s">
        <v>807</v>
      </c>
      <c r="J763" s="2561" t="s">
        <v>3692</v>
      </c>
      <c r="K763" s="2559"/>
      <c r="L763" s="2559"/>
      <c r="M763" s="2564" t="str">
        <f>'Part I-Project Information'!$O$40</f>
        <v>Colquitt Co.</v>
      </c>
      <c r="N763" s="2564"/>
      <c r="O763" s="2565">
        <f>VLOOKUP('Part I-Project Information'!$O$40,'DCA Underwriting Assumptions'!$C$155:$D$265,2)</f>
        <v>39400</v>
      </c>
      <c r="P763" s="2557"/>
      <c r="Q763" s="2558"/>
      <c r="S763" s="2543" t="s">
        <v>2714</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3690</v>
      </c>
      <c r="H764" s="2557"/>
      <c r="I764" s="2517" t="s">
        <v>3879</v>
      </c>
      <c r="J764" s="2561" t="s">
        <v>3693</v>
      </c>
      <c r="K764" s="2559"/>
      <c r="L764" s="2559"/>
      <c r="P764" s="2557"/>
      <c r="Q764" s="2558"/>
      <c r="R764" s="2559"/>
      <c r="S764" s="2566"/>
      <c r="T764" s="2567" t="s">
        <v>2711</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3690</v>
      </c>
      <c r="I765" s="2517"/>
      <c r="J765" s="2561" t="s">
        <v>4747</v>
      </c>
      <c r="K765" s="2569" t="s">
        <v>146</v>
      </c>
      <c r="L765" s="2569"/>
      <c r="M765" s="2561" t="s">
        <v>2382</v>
      </c>
      <c r="N765" s="2561" t="s">
        <v>537</v>
      </c>
      <c r="O765" s="2561" t="s">
        <v>385</v>
      </c>
      <c r="P765" s="2557"/>
      <c r="Q765" s="2569" t="s">
        <v>3597</v>
      </c>
      <c r="R765" s="2569"/>
      <c r="S765" s="2561" t="s">
        <v>2710</v>
      </c>
      <c r="T765" s="2561" t="s">
        <v>2712</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2455</v>
      </c>
      <c r="EY765" s="2549" t="s">
        <v>2456</v>
      </c>
      <c r="EZ765" s="2549" t="s">
        <v>2457</v>
      </c>
      <c r="FA765" s="2549" t="s">
        <v>2458</v>
      </c>
      <c r="FB765" s="2547" t="s">
        <v>2512</v>
      </c>
      <c r="FC765" s="2547" t="s">
        <v>2512</v>
      </c>
      <c r="FD765" s="2547" t="s">
        <v>2512</v>
      </c>
      <c r="FE765" s="2547" t="s">
        <v>2512</v>
      </c>
      <c r="FF765" s="2547" t="s">
        <v>2512</v>
      </c>
      <c r="FG765" s="2547" t="s">
        <v>3386</v>
      </c>
      <c r="FH765" s="2547" t="s">
        <v>3386</v>
      </c>
      <c r="FI765" s="2547" t="s">
        <v>3386</v>
      </c>
      <c r="FJ765" s="2547" t="s">
        <v>3386</v>
      </c>
      <c r="FK765" s="2547" t="s">
        <v>3386</v>
      </c>
      <c r="FL765" s="2549" t="s">
        <v>573</v>
      </c>
      <c r="FM765" s="2549" t="s">
        <v>2455</v>
      </c>
      <c r="FN765" s="2549" t="s">
        <v>2456</v>
      </c>
      <c r="FO765" s="2549" t="s">
        <v>2457</v>
      </c>
      <c r="FP765" s="2549" t="s">
        <v>2458</v>
      </c>
      <c r="FQ765" s="2549" t="s">
        <v>573</v>
      </c>
      <c r="FR765" s="2549" t="s">
        <v>2455</v>
      </c>
      <c r="FS765" s="2549" t="s">
        <v>2456</v>
      </c>
      <c r="FT765" s="2549" t="s">
        <v>2457</v>
      </c>
      <c r="FU765" s="2549" t="s">
        <v>2458</v>
      </c>
      <c r="FV765" s="2547" t="s">
        <v>2514</v>
      </c>
      <c r="FW765" s="2547" t="s">
        <v>2514</v>
      </c>
      <c r="FX765" s="2547" t="s">
        <v>2514</v>
      </c>
      <c r="FY765" s="2547" t="s">
        <v>2514</v>
      </c>
      <c r="FZ765" s="2547" t="s">
        <v>2514</v>
      </c>
      <c r="GA765" s="2547" t="s">
        <v>3382</v>
      </c>
      <c r="GB765" s="2547" t="s">
        <v>3382</v>
      </c>
      <c r="GC765" s="2547" t="s">
        <v>3382</v>
      </c>
      <c r="GD765" s="2547" t="s">
        <v>3382</v>
      </c>
      <c r="GE765" s="2547" t="s">
        <v>3382</v>
      </c>
      <c r="GF765" s="2547" t="s">
        <v>360</v>
      </c>
      <c r="GG765" s="2547" t="s">
        <v>360</v>
      </c>
      <c r="GH765" s="2547" t="s">
        <v>360</v>
      </c>
      <c r="GI765" s="2547" t="s">
        <v>360</v>
      </c>
      <c r="GJ765" s="2547" t="s">
        <v>360</v>
      </c>
      <c r="GK765" s="2547" t="s">
        <v>3381</v>
      </c>
      <c r="GL765" s="2547" t="s">
        <v>3381</v>
      </c>
      <c r="GM765" s="2547" t="s">
        <v>3381</v>
      </c>
      <c r="GN765" s="2547" t="s">
        <v>3381</v>
      </c>
      <c r="GO765" s="2547" t="s">
        <v>3381</v>
      </c>
      <c r="GP765" s="2547" t="s">
        <v>361</v>
      </c>
      <c r="GQ765" s="2547" t="s">
        <v>361</v>
      </c>
      <c r="GR765" s="2547" t="s">
        <v>361</v>
      </c>
      <c r="GS765" s="2547" t="s">
        <v>361</v>
      </c>
      <c r="GT765" s="2547" t="s">
        <v>361</v>
      </c>
      <c r="GU765" s="2547" t="s">
        <v>3380</v>
      </c>
      <c r="GV765" s="2547" t="s">
        <v>3380</v>
      </c>
      <c r="GW765" s="2547" t="s">
        <v>3380</v>
      </c>
      <c r="GX765" s="2547" t="s">
        <v>3380</v>
      </c>
      <c r="GY765" s="2547" t="s">
        <v>3380</v>
      </c>
      <c r="GZ765" s="2547" t="s">
        <v>362</v>
      </c>
      <c r="HA765" s="2547" t="s">
        <v>362</v>
      </c>
      <c r="HB765" s="2547" t="s">
        <v>362</v>
      </c>
      <c r="HC765" s="2547" t="s">
        <v>362</v>
      </c>
      <c r="HD765" s="2547" t="s">
        <v>362</v>
      </c>
      <c r="HE765" s="2547" t="s">
        <v>3383</v>
      </c>
      <c r="HF765" s="2547" t="s">
        <v>3383</v>
      </c>
      <c r="HG765" s="2547" t="s">
        <v>3383</v>
      </c>
      <c r="HH765" s="2547" t="s">
        <v>3383</v>
      </c>
      <c r="HI765" s="2547" t="s">
        <v>3383</v>
      </c>
      <c r="HJ765" s="2547" t="s">
        <v>363</v>
      </c>
      <c r="HK765" s="2547" t="s">
        <v>363</v>
      </c>
      <c r="HL765" s="2547" t="s">
        <v>363</v>
      </c>
      <c r="HM765" s="2547" t="s">
        <v>363</v>
      </c>
      <c r="HN765" s="2547" t="s">
        <v>363</v>
      </c>
      <c r="HO765" s="2547" t="s">
        <v>3384</v>
      </c>
      <c r="HP765" s="2547" t="s">
        <v>3384</v>
      </c>
      <c r="HQ765" s="2547" t="s">
        <v>3384</v>
      </c>
      <c r="HR765" s="2547" t="s">
        <v>3384</v>
      </c>
      <c r="HS765" s="2547" t="s">
        <v>3384</v>
      </c>
      <c r="HT765" s="2547" t="s">
        <v>1473</v>
      </c>
      <c r="HU765" s="2547" t="s">
        <v>1473</v>
      </c>
      <c r="HV765" s="2547" t="s">
        <v>1473</v>
      </c>
      <c r="HW765" s="2547" t="s">
        <v>1473</v>
      </c>
      <c r="HX765" s="2547" t="s">
        <v>1473</v>
      </c>
      <c r="HY765" s="2547" t="s">
        <v>3385</v>
      </c>
      <c r="HZ765" s="2547" t="s">
        <v>3385</v>
      </c>
      <c r="IA765" s="2547" t="s">
        <v>3385</v>
      </c>
      <c r="IB765" s="2547" t="s">
        <v>3385</v>
      </c>
      <c r="IC765" s="2547" t="s">
        <v>3385</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3691</v>
      </c>
      <c r="H766" s="2561" t="s">
        <v>1490</v>
      </c>
      <c r="I766" s="2517"/>
      <c r="J766" s="2570" t="s">
        <v>352</v>
      </c>
      <c r="K766" s="2561" t="s">
        <v>1542</v>
      </c>
      <c r="L766" s="2561" t="s">
        <v>544</v>
      </c>
      <c r="M766" s="2561" t="s">
        <v>1488</v>
      </c>
      <c r="N766" s="2561" t="s">
        <v>3335</v>
      </c>
      <c r="O766" s="2561" t="s">
        <v>386</v>
      </c>
      <c r="P766" s="2557"/>
      <c r="Q766" s="2561" t="s">
        <v>3598</v>
      </c>
      <c r="R766" s="2561" t="s">
        <v>1050</v>
      </c>
      <c r="S766" s="2561" t="s">
        <v>1490</v>
      </c>
      <c r="T766" s="2561" t="s">
        <v>2713</v>
      </c>
      <c r="U766" s="2550" t="s">
        <v>1858</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2511</v>
      </c>
      <c r="EY766" s="2549" t="s">
        <v>2511</v>
      </c>
      <c r="EZ766" s="2549" t="s">
        <v>2511</v>
      </c>
      <c r="FA766" s="2549" t="s">
        <v>2511</v>
      </c>
      <c r="FB766" s="2547"/>
      <c r="FC766" s="2547"/>
      <c r="FD766" s="2547"/>
      <c r="FE766" s="2547"/>
      <c r="FF766" s="2547"/>
      <c r="FG766" s="2547"/>
      <c r="FH766" s="2547"/>
      <c r="FI766" s="2547"/>
      <c r="FJ766" s="2547"/>
      <c r="FK766" s="2547"/>
      <c r="FL766" s="2549" t="s">
        <v>2513</v>
      </c>
      <c r="FM766" s="2549" t="s">
        <v>2513</v>
      </c>
      <c r="FN766" s="2549" t="s">
        <v>2513</v>
      </c>
      <c r="FO766" s="2549" t="s">
        <v>2513</v>
      </c>
      <c r="FP766" s="2549" t="s">
        <v>2513</v>
      </c>
      <c r="FQ766" s="2549" t="s">
        <v>3387</v>
      </c>
      <c r="FR766" s="2549" t="s">
        <v>3387</v>
      </c>
      <c r="FS766" s="2549" t="s">
        <v>3387</v>
      </c>
      <c r="FT766" s="2549" t="s">
        <v>3387</v>
      </c>
      <c r="FU766" s="2549" t="s">
        <v>3387</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0">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2</v>
      </c>
      <c r="F767" s="2574">
        <f>'Part VI-Revenues &amp; Expenses'!F10</f>
        <v>750</v>
      </c>
      <c r="G767" s="2574">
        <f>'Part VI-Revenues &amp; Expenses'!G10</f>
        <v>436</v>
      </c>
      <c r="H767" s="2574">
        <f>'Part VI-Revenues &amp; Expenses'!H10</f>
        <v>431</v>
      </c>
      <c r="I767" s="2574">
        <f>'Part VI-Revenues &amp; Expenses'!I10</f>
        <v>96</v>
      </c>
      <c r="J767" s="2575">
        <f>'Part VI-Revenues &amp; Expenses'!J10</f>
        <v>0</v>
      </c>
      <c r="K767" s="2576">
        <f t="shared" ref="K767:K804" si="1">MAX(0,H767-I767)</f>
        <v>335</v>
      </c>
      <c r="L767" s="2576">
        <f t="shared" ref="L767:L804" si="2">MAX(0,E767*K767)</f>
        <v>670</v>
      </c>
      <c r="M767" s="2450" t="str">
        <f>'Part VI-Revenues &amp; Expenses'!M10</f>
        <v>No</v>
      </c>
      <c r="N767" s="2450" t="str">
        <f>'Part VI-Revenues &amp; Expenses'!N10</f>
        <v>Townhome</v>
      </c>
      <c r="O767" s="2450" t="str">
        <f>'Part VI-Revenues &amp; Expenses'!O10</f>
        <v>New Construction</v>
      </c>
      <c r="P767" s="2556" t="str">
        <f>'Part VI-Revenues &amp; Expenses'!P10</f>
        <v>No</v>
      </c>
      <c r="Q767" s="2577">
        <f>'Part VI-Revenues &amp; Expenses'!Q10</f>
        <v>17240</v>
      </c>
      <c r="R767" s="2578">
        <f>'Part VI-Revenues &amp; Expenses'!R10</f>
        <v>0.58341793570219969</v>
      </c>
      <c r="S767" s="2577">
        <f>'Part VI-Revenues &amp; Expenses'!S10</f>
        <v>0</v>
      </c>
      <c r="T767" s="2578">
        <f>'Part VI-Revenues &amp; Expenses'!T10</f>
        <v>0</v>
      </c>
      <c r="U767" s="2500"/>
      <c r="V767" s="2500"/>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t="str">
        <f t="shared" ref="AB767:AB804" si="8">IF(AND(C767="Efficiency",B767="50% AMI",NOT(M767="Common Space")),E767,"")</f>
        <v/>
      </c>
      <c r="AC767" s="683">
        <f t="shared" ref="AC767:AC804" si="9">IF(AND(C767=1,B767="50% AMI",NOT(M767="Common Space")),E767,"")</f>
        <v>2</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t="str">
        <f t="shared" ref="CE767:CE804" si="63">IF(OR(AND(C767="Efficiency",B767="50% AMI",NOT(M767="Common Space")),AND(C767="Efficiency",B767="HOME 50% AMI",NOT(M767="Common Space"))),E767*F767,"")</f>
        <v/>
      </c>
      <c r="CF767" s="683">
        <f t="shared" ref="CF767:CF804" si="64">IF(OR(AND(C767=1,B767="50% AMI",NOT(M767="Common Space")),AND(C767=1,B767="HOME 50% AMI",NOT(M767="Common Space"))),E767*F767,"")</f>
        <v>1500</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f t="shared" ref="DE767:DE804" si="89">IF(AND($C767=1, $O767="New Construction",NOT($B767="Unrestricted"),NOT($B767="NSP 120% AMI"),NOT($B767="N/A-CS"),NOT($M767="Common Space")),$E767,"")</f>
        <v>2</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t="str">
        <f t="shared" ref="EH767:EH804" si="118">IF(AND($C767="Efficiency", $O767="Rehabilitation",NOT($B767="Unrestricted"),NOT($B767="NSP 120% AMI"),NOT($B767="N/A-CS"),NOT($M767="Common Space")),$E767,"")</f>
        <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2579" t="str">
        <f t="shared" ref="EW767:EW804" si="133">IF(AND($C767="Efficiency", NOT(OR($N767="SF Detached",$N767="Mfd Home",$N767="Duplex",$N767="Townhome"))),$E767,"")</f>
        <v/>
      </c>
      <c r="EX767" s="2579" t="str">
        <f t="shared" ref="EX767:EX804" si="134">IF(AND($C767=1, NOT(OR($N767="SF Detached",$N767="Mfd Home",$N767="Duplex",$N767="Townhome"))),$E767,"")</f>
        <v/>
      </c>
      <c r="EY767" s="2579" t="str">
        <f t="shared" ref="EY767:EY804" si="135">IF(AND($C767=2, NOT(OR($N767="SF Detached",$N767="Mfd Home",$N767="Duplex",$N767="Townhome"))),$E767,"")</f>
        <v/>
      </c>
      <c r="EZ767" s="2579" t="str">
        <f t="shared" ref="EZ767:EZ804" si="136">IF(AND($C767=3, NOT(OR($N767="SF Detached",$N767="Mfd Home",$N767="Duplex",$N767="Townhome"))),$E767,"")</f>
        <v/>
      </c>
      <c r="FA767" s="2579" t="str">
        <f t="shared" ref="FA767:FA804" si="137">IF(AND($C767=4, NOT(OR($N767="SF Detached",$N767="Mfd Home",$N767="Duplex",$N767="Townhome"))),$E767,"")</f>
        <v/>
      </c>
      <c r="FB767" s="2579" t="str">
        <f t="shared" ref="FB767:FB804" si="138">IF(AND($C767="Efficiency", $N767="SF Detached",NOT($P767="Yes")),$E767,"")</f>
        <v/>
      </c>
      <c r="FC767" s="2579" t="str">
        <f t="shared" ref="FC767:FC804" si="139">IF(AND($C767=1, $N767="SF Detached",NOT($P767="Yes")),$E767,"")</f>
        <v/>
      </c>
      <c r="FD767" s="2579" t="str">
        <f t="shared" ref="FD767:FD804" si="140">IF(AND($C767=2, $N767="SF Detached",NOT($P767="Yes")),$E767,"")</f>
        <v/>
      </c>
      <c r="FE767" s="2579" t="str">
        <f t="shared" ref="FE767:FE804" si="141">IF(AND($C767=3, $N767="SF Detached",NOT($P767="Yes")),$E767,"")</f>
        <v/>
      </c>
      <c r="FF767" s="2579" t="str">
        <f t="shared" ref="FF767:FF804" si="142">IF(AND($C767=4, $N767="SF Detached",NOT($P767="Yes")),$E767,"")</f>
        <v/>
      </c>
      <c r="FG767" s="2579" t="str">
        <f t="shared" ref="FG767:FG804" si="143">IF(AND($C767="Efficiency", $N767="SF Detached",$P767="Yes"),$E767,"")</f>
        <v/>
      </c>
      <c r="FH767" s="2579" t="str">
        <f t="shared" ref="FH767:FH804" si="144">IF(AND($C767=1, $N767="SF Detached",$P767="Yes"),$E767,"")</f>
        <v/>
      </c>
      <c r="FI767" s="2579" t="str">
        <f t="shared" ref="FI767:FI804" si="145">IF(AND($C767=2, $N767="SF Detached",$P767="Yes"),$E767,"")</f>
        <v/>
      </c>
      <c r="FJ767" s="2579" t="str">
        <f t="shared" ref="FJ767:FJ804" si="146">IF(AND($C767=3, $N767="SF Detached",$P767="Yes"),$E767,"")</f>
        <v/>
      </c>
      <c r="FK767" s="2579" t="str">
        <f t="shared" ref="FK767:FK804" si="147">IF(AND($C767=4, $N767="SF Detached",$P767="Yes"),$E767,"")</f>
        <v/>
      </c>
      <c r="FL767" s="2579" t="str">
        <f t="shared" ref="FL767:FL804" si="148">IF(AND($C767="Efficiency", $N767="Mfd Home",NOT($P767="Yes")),$E767,"")</f>
        <v/>
      </c>
      <c r="FM767" s="2579" t="str">
        <f t="shared" ref="FM767:FM804" si="149">IF(AND($C767=1, $N767="Mfd Home",NOT($P767="Yes")),$E767,"")</f>
        <v/>
      </c>
      <c r="FN767" s="2579" t="str">
        <f t="shared" ref="FN767:FN804" si="150">IF(AND($C767=2, $N767="Mfd Home",NOT($P767="Yes")),$E767,"")</f>
        <v/>
      </c>
      <c r="FO767" s="2579" t="str">
        <f t="shared" ref="FO767:FO804" si="151">IF(AND($C767=3, $N767="Mfd Home",NOT($P767="Yes")),$E767,"")</f>
        <v/>
      </c>
      <c r="FP767" s="2579" t="str">
        <f t="shared" ref="FP767:FP804" si="152">IF(AND($C767=4, $N767="Mfd Home",NOT($P767="Yes")),$E767,"")</f>
        <v/>
      </c>
      <c r="FQ767" s="2579" t="str">
        <f t="shared" ref="FQ767:FQ804" si="153">IF(AND($C767="Efficiency", $N767="Mfd Home",$P767="Yes"),$E767,"")</f>
        <v/>
      </c>
      <c r="FR767" s="2579" t="str">
        <f t="shared" ref="FR767:FR804" si="154">IF(AND($C767=1, $N767="Mfd Home",$P767="Yes"),$E767,"")</f>
        <v/>
      </c>
      <c r="FS767" s="2579" t="str">
        <f t="shared" ref="FS767:FS804" si="155">IF(AND($C767=2, $N767="Mfd Home",$P767="Yes"),$E767,"")</f>
        <v/>
      </c>
      <c r="FT767" s="2579" t="str">
        <f t="shared" ref="FT767:FT804" si="156">IF(AND($C767=3, $N767="Mfd Home",$P767="Yes"),$E767,"")</f>
        <v/>
      </c>
      <c r="FU767" s="2579" t="str">
        <f t="shared" ref="FU767:FU804" si="157">IF(AND($C767=4, $N767="Mfd Home",$P767="Yes"),$E767,"")</f>
        <v/>
      </c>
      <c r="FV767" s="2579" t="str">
        <f t="shared" ref="FV767:FV804" si="158">IF(AND($C767="Efficiency", $N767="Duplex",NOT($P767="Yes")),$E767,"")</f>
        <v/>
      </c>
      <c r="FW767" s="2579" t="str">
        <f t="shared" ref="FW767:FW804" si="159">IF(AND($C767=1, $N767="Duplex",NOT($P767="Yes")),$E767,"")</f>
        <v/>
      </c>
      <c r="FX767" s="2579" t="str">
        <f t="shared" ref="FX767:FX804" si="160">IF(AND($C767=2, $N767="Duplex",NOT($P767="Yes")),$E767,"")</f>
        <v/>
      </c>
      <c r="FY767" s="2579" t="str">
        <f t="shared" ref="FY767:FY804" si="161">IF(AND($C767=3, $N767="Duplex",NOT($P767="Yes")),$E767,"")</f>
        <v/>
      </c>
      <c r="FZ767" s="2579" t="str">
        <f t="shared" ref="FZ767:FZ804" si="162">IF(AND($C767=4, $N767="Duplex",NOT($P767="Yes")),$E767,"")</f>
        <v/>
      </c>
      <c r="GA767" s="2579" t="str">
        <f t="shared" ref="GA767:GA804" si="163">IF(AND($C767="Efficiency", $N767="Duplex",$P767="Yes"),$E767,"")</f>
        <v/>
      </c>
      <c r="GB767" s="2579" t="str">
        <f t="shared" ref="GB767:GB804" si="164">IF(AND($C767=1, $N767="Duplex",$P767="Yes"),$E767,"")</f>
        <v/>
      </c>
      <c r="GC767" s="2579" t="str">
        <f t="shared" ref="GC767:GC804" si="165">IF(AND($C767=2, $N767="Duplex",$P767="Yes"),$E767,"")</f>
        <v/>
      </c>
      <c r="GD767" s="2579" t="str">
        <f t="shared" ref="GD767:GD804" si="166">IF(AND($C767=3, $N767="Duplex",$P767="Yes"),$E767,"")</f>
        <v/>
      </c>
      <c r="GE767" s="2579" t="str">
        <f t="shared" ref="GE767:GE804" si="167">IF(AND($C767=4, $N767="Duplex",$P767="Yes"),$E767,"")</f>
        <v/>
      </c>
      <c r="GF767" s="2579" t="str">
        <f t="shared" ref="GF767:GF804" si="168">IF(AND($C767="Efficiency", $N767="Townhome",NOT($P767="Yes")),$E767,"")</f>
        <v/>
      </c>
      <c r="GG767" s="2579">
        <f t="shared" ref="GG767:GG804" si="169">IF(AND($C767=1, $N767="Townhome",NOT($P767="Yes")),$E767,"")</f>
        <v>2</v>
      </c>
      <c r="GH767" s="2579" t="str">
        <f t="shared" ref="GH767:GH804" si="170">IF(AND($C767=2, $N767="Townhome",NOT($P767="Yes")),$E767,"")</f>
        <v/>
      </c>
      <c r="GI767" s="2579" t="str">
        <f t="shared" ref="GI767:GI804" si="171">IF(AND($C767=3, $N767="Townhome",NOT($P767="Yes")),$E767,"")</f>
        <v/>
      </c>
      <c r="GJ767" s="2579" t="str">
        <f t="shared" ref="GJ767:GJ804" si="172">IF(AND($C767=4, $N767="Townhome",NOT($P767="Yes")),$E767,"")</f>
        <v/>
      </c>
      <c r="GK767" s="2579" t="str">
        <f t="shared" ref="GK767:GK804" si="173">IF(AND($C767="Efficiency", $N767="Townhome",$P767="Yes"),$E767,"")</f>
        <v/>
      </c>
      <c r="GL767" s="2579" t="str">
        <f t="shared" ref="GL767:GL804" si="174">IF(AND($C767=1, $N767="Townhome",$P767="Yes"),$E767,"")</f>
        <v/>
      </c>
      <c r="GM767" s="2579" t="str">
        <f t="shared" ref="GM767:GM804" si="175">IF(AND($C767=2, $N767="Townhome",$P767="Yes"),$E767,"")</f>
        <v/>
      </c>
      <c r="GN767" s="2579" t="str">
        <f t="shared" ref="GN767:GN804" si="176">IF(AND($C767=3, $N767="Townhome",$P767="Yes"),$E767,"")</f>
        <v/>
      </c>
      <c r="GO767" s="2579" t="str">
        <f t="shared" ref="GO767:GO804" si="177">IF(AND($C767=4, $N767="Townhome",$P767="Yes"),$E767,"")</f>
        <v/>
      </c>
      <c r="GP767" s="2579" t="str">
        <f t="shared" ref="GP767:GP804" si="178">IF(AND($C767="Efficiency", $N767="1-Story",NOT($P767="Yes")),$E767,"")</f>
        <v/>
      </c>
      <c r="GQ767" s="2579" t="str">
        <f t="shared" ref="GQ767:GQ804" si="179">IF(AND($C767=1, $N767="1-Story",NOT($P767="Yes")),$E767,"")</f>
        <v/>
      </c>
      <c r="GR767" s="2579" t="str">
        <f t="shared" ref="GR767:GR804" si="180">IF(AND($C767=2, $N767="1-Story",NOT($P767="Yes")),$E767,"")</f>
        <v/>
      </c>
      <c r="GS767" s="2579" t="str">
        <f t="shared" ref="GS767:GS804" si="181">IF(AND($C767=3, $N767="1-Story",NOT($P767="Yes")),$E767,"")</f>
        <v/>
      </c>
      <c r="GT767" s="2579" t="str">
        <f t="shared" ref="GT767:GT804" si="182">IF(AND($C767=4, $N767="1-Story",NOT($P767="Yes")),$E767,"")</f>
        <v/>
      </c>
      <c r="GU767" s="2579" t="str">
        <f t="shared" ref="GU767:GU804" si="183">IF(AND($C767="Efficiency", $N767="1-Story",$P767="Yes"),$E767,"")</f>
        <v/>
      </c>
      <c r="GV767" s="2579" t="str">
        <f t="shared" ref="GV767:GV804" si="184">IF(AND($C767=1, $N767="1-Story",$P767="Yes"),$E767,"")</f>
        <v/>
      </c>
      <c r="GW767" s="2579" t="str">
        <f t="shared" ref="GW767:GW804" si="185">IF(AND($C767=2, $N767="1-Story",$P767="Yes"),$E767,"")</f>
        <v/>
      </c>
      <c r="GX767" s="2579" t="str">
        <f t="shared" ref="GX767:GX804" si="186">IF(AND($C767=3, $N767="1-Story",$P767="Yes"),$E767,"")</f>
        <v/>
      </c>
      <c r="GY767" s="2579" t="str">
        <f t="shared" ref="GY767:GY804" si="187">IF(AND($C767=4, $N767="1-Story",$P767="Yes"),$E767,"")</f>
        <v/>
      </c>
      <c r="GZ767" s="2579" t="str">
        <f t="shared" ref="GZ767:GZ804" si="188">IF(AND($C767="Efficiency", $N767="2-Story",NOT($P767="Yes")),$E767,"")</f>
        <v/>
      </c>
      <c r="HA767" s="2579" t="str">
        <f t="shared" ref="HA767:HA804" si="189">IF(AND($C767=1, $N767="2-Story",NOT($P767="Yes")),$E767,"")</f>
        <v/>
      </c>
      <c r="HB767" s="2579" t="str">
        <f t="shared" ref="HB767:HB804" si="190">IF(AND($C767=2, $N767="2-Story",NOT($P767="Yes")),$E767,"")</f>
        <v/>
      </c>
      <c r="HC767" s="2579" t="str">
        <f t="shared" ref="HC767:HC804" si="191">IF(AND($C767=3, $N767="2-Story",NOT($P767="Yes")),$E767,"")</f>
        <v/>
      </c>
      <c r="HD767" s="2579" t="str">
        <f t="shared" ref="HD767:HD804" si="192">IF(AND($C767=4, $N767="2-Story",NOT($P767="Yes")),$E767,"")</f>
        <v/>
      </c>
      <c r="HE767" s="2579" t="str">
        <f t="shared" ref="HE767:HE804" si="193">IF(AND($C767="Efficiency", $N767="2-Story",$P767="Yes"),$E767,"")</f>
        <v/>
      </c>
      <c r="HF767" s="2579" t="str">
        <f t="shared" ref="HF767:HF804" si="194">IF(AND($C767=1, $N767="2-Story",$P767="Yes"),$E767,"")</f>
        <v/>
      </c>
      <c r="HG767" s="2579" t="str">
        <f t="shared" ref="HG767:HG804" si="195">IF(AND($C767=2, $N767="2-Story",$P767="Yes"),$E767,"")</f>
        <v/>
      </c>
      <c r="HH767" s="2579" t="str">
        <f t="shared" ref="HH767:HH804" si="196">IF(AND($C767=3, $N767="2-Story",$P767="Yes"),$E767,"")</f>
        <v/>
      </c>
      <c r="HI767" s="2579" t="str">
        <f t="shared" ref="HI767:HI804" si="197">IF(AND($C767=4, $N767="2-Story",$P767="Yes"),$E767,"")</f>
        <v/>
      </c>
      <c r="HJ767" s="2579" t="str">
        <f t="shared" ref="HJ767:HJ804" si="198">IF(AND($C767="Efficiency", $N767="2-Story Walkup",NOT($P767="Yes")),$E767,"")</f>
        <v/>
      </c>
      <c r="HK767" s="2579" t="str">
        <f t="shared" ref="HK767:HK804" si="199">IF(AND($C767=1, $N767="2-Story Walkup",NOT($P767="Yes")),$E767,"")</f>
        <v/>
      </c>
      <c r="HL767" s="2579" t="str">
        <f t="shared" ref="HL767:HL804" si="200">IF(AND($C767=2, $N767="2-Story Walkup",NOT($P767="Yes")),$E767,"")</f>
        <v/>
      </c>
      <c r="HM767" s="2579" t="str">
        <f t="shared" ref="HM767:HM804" si="201">IF(AND($C767=3, $N767="2-Story Walkup",NOT($P767="Yes")),$E767,"")</f>
        <v/>
      </c>
      <c r="HN767" s="2579" t="str">
        <f t="shared" ref="HN767:HN804" si="202">IF(AND($C767=4, $N767="2-Story Walkup",NOT($P767="Yes")),$E767,"")</f>
        <v/>
      </c>
      <c r="HO767" s="2579" t="str">
        <f t="shared" ref="HO767:HO804" si="203">IF(AND($C767="Efficiency", $N767="2-Story Walkup",$P767="Yes"),$E767,"")</f>
        <v/>
      </c>
      <c r="HP767" s="2579" t="str">
        <f t="shared" ref="HP767:HP804" si="204">IF(AND($C767=1, $N767="2-Story Walkup",$P767="Yes"),$E767,"")</f>
        <v/>
      </c>
      <c r="HQ767" s="2579" t="str">
        <f t="shared" ref="HQ767:HQ804" si="205">IF(AND($C767=2, $N767="2-Story Walkup",$P767="Yes"),$E767,"")</f>
        <v/>
      </c>
      <c r="HR767" s="2579" t="str">
        <f t="shared" ref="HR767:HR804" si="206">IF(AND($C767=3, $N767="2-Story Walkup",$P767="Yes"),$E767,"")</f>
        <v/>
      </c>
      <c r="HS767" s="2579" t="str">
        <f t="shared" ref="HS767:HS804" si="207">IF(AND($C767=4, $N767="2-Story Walkup",$P767="Yes"),$E767,"")</f>
        <v/>
      </c>
      <c r="HT767" s="2579" t="str">
        <f t="shared" ref="HT767:HT804" si="208">IF(AND($C767="Efficiency", $N767="3+ Story",NOT($P767="Yes")),$E767,"")</f>
        <v/>
      </c>
      <c r="HU767" s="2579" t="str">
        <f t="shared" ref="HU767:HU804" si="209">IF(AND($C767=1, $N767="3+ Story",NOT($P767="Yes")),$E767,"")</f>
        <v/>
      </c>
      <c r="HV767" s="2579" t="str">
        <f t="shared" ref="HV767:HV804" si="210">IF(AND($C767=2, $N767="3+ Story",NOT($P767="Yes")),$E767,"")</f>
        <v/>
      </c>
      <c r="HW767" s="2579" t="str">
        <f t="shared" ref="HW767:HW804" si="211">IF(AND($C767=3, $N767="3+ Story",NOT($P767="Yes")),$E767,"")</f>
        <v/>
      </c>
      <c r="HX767" s="2579" t="str">
        <f t="shared" ref="HX767:HX804" si="212">IF(AND($C767=4, $N767="3+ Story",NOT($P767="Yes")),$E767,"")</f>
        <v/>
      </c>
      <c r="HY767" s="2579" t="str">
        <f t="shared" ref="HY767:HY804" si="213">IF(AND($C767="Efficiency", $N767="3+ Story",$P767="Yes"),$E767,"")</f>
        <v/>
      </c>
      <c r="HZ767" s="2579" t="str">
        <f t="shared" ref="HZ767:HZ804" si="214">IF(AND($C767=1, $N767="3+ Story",$P767="Yes"),$E767,"")</f>
        <v/>
      </c>
      <c r="IA767" s="2579" t="str">
        <f t="shared" ref="IA767:IA804" si="215">IF(AND($C767=2, $N767="3+ Story",$P767="Yes"),$E767,"")</f>
        <v/>
      </c>
      <c r="IB767" s="2579" t="str">
        <f t="shared" ref="IB767:IB804" si="216">IF(AND($C767=3, $N767="3+ Story",$P767="Yes"),$E767,"")</f>
        <v/>
      </c>
      <c r="IC767" s="2579" t="str">
        <f t="shared" ref="IC767:IC804" si="217">IF(AND($C767=4, $N767="3+ Story",$P767="Yes"),$E767,"")</f>
        <v/>
      </c>
      <c r="ID767" s="2551" t="str">
        <f t="shared" ref="ID767:ID804" si="218">IF(AND($B767="NSP 120% AMI",$C767="Efficiency", NOT($M767="Common Space")),$E767,"")</f>
        <v/>
      </c>
      <c r="IE767" s="2551" t="str">
        <f t="shared" ref="IE767:IE804" si="219">IF(AND($B767="NSP 120% AMI",$C767=1,NOT($M767="Common Space")),$E767,"")</f>
        <v/>
      </c>
      <c r="IF767" s="2551" t="str">
        <f t="shared" ref="IF767:IF804" si="220">IF(AND($B767="NSP 120% AMI",$C767=2,NOT($M767="Common Space")),$E767,"")</f>
        <v/>
      </c>
      <c r="IG767" s="2551" t="str">
        <f t="shared" ref="IG767:IG804" si="221">IF(AND($B767="NSP 120% AMI",$C767=3,NOT($M767="Common Space")),$E767,"")</f>
        <v/>
      </c>
      <c r="IH767" s="2551"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2</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0"/>
        <v/>
      </c>
      <c r="B768" s="2571" t="str">
        <f>'Part VI-Revenues &amp; Expenses'!B11</f>
        <v>60% AMI</v>
      </c>
      <c r="C768" s="2572">
        <f>'Part VI-Revenues &amp; Expenses'!C11</f>
        <v>1</v>
      </c>
      <c r="D768" s="2573">
        <f>'Part VI-Revenues &amp; Expenses'!D11</f>
        <v>1</v>
      </c>
      <c r="E768" s="2574">
        <f>'Part VI-Revenues &amp; Expenses'!E11</f>
        <v>4</v>
      </c>
      <c r="F768" s="2574">
        <f>'Part VI-Revenues &amp; Expenses'!F11</f>
        <v>750</v>
      </c>
      <c r="G768" s="2574">
        <f>'Part VI-Revenues &amp; Expenses'!G11</f>
        <v>523</v>
      </c>
      <c r="H768" s="2574">
        <f>'Part VI-Revenues &amp; Expenses'!H11</f>
        <v>518</v>
      </c>
      <c r="I768" s="2574">
        <f>'Part VI-Revenues &amp; Expenses'!I11</f>
        <v>96</v>
      </c>
      <c r="J768" s="2575">
        <f>'Part VI-Revenues &amp; Expenses'!J11</f>
        <v>0</v>
      </c>
      <c r="K768" s="2576">
        <f t="shared" si="1"/>
        <v>422</v>
      </c>
      <c r="L768" s="2576">
        <f t="shared" si="2"/>
        <v>1688</v>
      </c>
      <c r="M768" s="2450" t="str">
        <f>'Part VI-Revenues &amp; Expenses'!M11</f>
        <v>No</v>
      </c>
      <c r="N768" s="2450" t="str">
        <f>'Part VI-Revenues &amp; Expenses'!N11</f>
        <v>Townhome</v>
      </c>
      <c r="O768" s="2450" t="str">
        <f>'Part VI-Revenues &amp; Expenses'!O11</f>
        <v>New Construction</v>
      </c>
      <c r="P768" s="2556" t="str">
        <f>'Part VI-Revenues &amp; Expenses'!P11</f>
        <v>No</v>
      </c>
      <c r="Q768" s="2577">
        <f>'Part VI-Revenues &amp; Expenses'!Q11</f>
        <v>20720</v>
      </c>
      <c r="R768" s="2578">
        <f>'Part VI-Revenues &amp; Expenses'!R11</f>
        <v>0.7011844331641286</v>
      </c>
      <c r="S768" s="2577">
        <f>'Part VI-Revenues &amp; Expenses'!S11</f>
        <v>0</v>
      </c>
      <c r="T768" s="2578">
        <f>'Part VI-Revenues &amp; Expenses'!T11</f>
        <v>0</v>
      </c>
      <c r="U768" s="2500"/>
      <c r="V768" s="2500"/>
      <c r="W768" s="683" t="str">
        <f t="shared" si="3"/>
        <v/>
      </c>
      <c r="X768" s="683">
        <f t="shared" si="4"/>
        <v>4</v>
      </c>
      <c r="Y768" s="683" t="str">
        <f t="shared" si="5"/>
        <v/>
      </c>
      <c r="Z768" s="683" t="str">
        <f t="shared" si="6"/>
        <v/>
      </c>
      <c r="AA768" s="683" t="str">
        <f t="shared" si="7"/>
        <v/>
      </c>
      <c r="AB768" s="683" t="str">
        <f t="shared" si="8"/>
        <v/>
      </c>
      <c r="AC768" s="683" t="str">
        <f t="shared" si="9"/>
        <v/>
      </c>
      <c r="AD768" s="683" t="str">
        <f t="shared" si="10"/>
        <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f t="shared" si="59"/>
        <v>3000</v>
      </c>
      <c r="CB768" s="683" t="str">
        <f t="shared" si="60"/>
        <v/>
      </c>
      <c r="CC768" s="683" t="str">
        <f t="shared" si="61"/>
        <v/>
      </c>
      <c r="CD768" s="683" t="str">
        <f t="shared" si="62"/>
        <v/>
      </c>
      <c r="CE768" s="683" t="str">
        <f t="shared" si="63"/>
        <v/>
      </c>
      <c r="CF768" s="683" t="str">
        <f t="shared" si="64"/>
        <v/>
      </c>
      <c r="CG768" s="683" t="str">
        <f t="shared" si="65"/>
        <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f t="shared" si="89"/>
        <v>4</v>
      </c>
      <c r="DF768" s="683" t="str">
        <f t="shared" si="90"/>
        <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t="str">
        <f t="shared" si="118"/>
        <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2579" t="str">
        <f t="shared" si="133"/>
        <v/>
      </c>
      <c r="EX768" s="2579" t="str">
        <f t="shared" si="134"/>
        <v/>
      </c>
      <c r="EY768" s="2579" t="str">
        <f t="shared" si="135"/>
        <v/>
      </c>
      <c r="EZ768" s="2579" t="str">
        <f t="shared" si="136"/>
        <v/>
      </c>
      <c r="FA768" s="2579" t="str">
        <f t="shared" si="137"/>
        <v/>
      </c>
      <c r="FB768" s="2579" t="str">
        <f t="shared" si="138"/>
        <v/>
      </c>
      <c r="FC768" s="2579" t="str">
        <f t="shared" si="139"/>
        <v/>
      </c>
      <c r="FD768" s="2579" t="str">
        <f t="shared" si="140"/>
        <v/>
      </c>
      <c r="FE768" s="2579" t="str">
        <f t="shared" si="141"/>
        <v/>
      </c>
      <c r="FF768" s="2579" t="str">
        <f t="shared" si="142"/>
        <v/>
      </c>
      <c r="FG768" s="2579" t="str">
        <f t="shared" si="143"/>
        <v/>
      </c>
      <c r="FH768" s="2579" t="str">
        <f t="shared" si="144"/>
        <v/>
      </c>
      <c r="FI768" s="2579" t="str">
        <f t="shared" si="145"/>
        <v/>
      </c>
      <c r="FJ768" s="2579" t="str">
        <f t="shared" si="146"/>
        <v/>
      </c>
      <c r="FK768" s="2579" t="str">
        <f t="shared" si="147"/>
        <v/>
      </c>
      <c r="FL768" s="2579" t="str">
        <f t="shared" si="148"/>
        <v/>
      </c>
      <c r="FM768" s="2579" t="str">
        <f t="shared" si="149"/>
        <v/>
      </c>
      <c r="FN768" s="2579" t="str">
        <f t="shared" si="150"/>
        <v/>
      </c>
      <c r="FO768" s="2579" t="str">
        <f t="shared" si="151"/>
        <v/>
      </c>
      <c r="FP768" s="2579" t="str">
        <f t="shared" si="152"/>
        <v/>
      </c>
      <c r="FQ768" s="2579" t="str">
        <f t="shared" si="153"/>
        <v/>
      </c>
      <c r="FR768" s="2579" t="str">
        <f t="shared" si="154"/>
        <v/>
      </c>
      <c r="FS768" s="2579" t="str">
        <f t="shared" si="155"/>
        <v/>
      </c>
      <c r="FT768" s="2579" t="str">
        <f t="shared" si="156"/>
        <v/>
      </c>
      <c r="FU768" s="2579" t="str">
        <f t="shared" si="157"/>
        <v/>
      </c>
      <c r="FV768" s="2579" t="str">
        <f t="shared" si="158"/>
        <v/>
      </c>
      <c r="FW768" s="2579" t="str">
        <f t="shared" si="159"/>
        <v/>
      </c>
      <c r="FX768" s="2579" t="str">
        <f t="shared" si="160"/>
        <v/>
      </c>
      <c r="FY768" s="2579" t="str">
        <f t="shared" si="161"/>
        <v/>
      </c>
      <c r="FZ768" s="2579" t="str">
        <f t="shared" si="162"/>
        <v/>
      </c>
      <c r="GA768" s="2579" t="str">
        <f t="shared" si="163"/>
        <v/>
      </c>
      <c r="GB768" s="2579" t="str">
        <f t="shared" si="164"/>
        <v/>
      </c>
      <c r="GC768" s="2579" t="str">
        <f t="shared" si="165"/>
        <v/>
      </c>
      <c r="GD768" s="2579" t="str">
        <f t="shared" si="166"/>
        <v/>
      </c>
      <c r="GE768" s="2579" t="str">
        <f t="shared" si="167"/>
        <v/>
      </c>
      <c r="GF768" s="2579" t="str">
        <f t="shared" si="168"/>
        <v/>
      </c>
      <c r="GG768" s="2579">
        <f t="shared" si="169"/>
        <v>4</v>
      </c>
      <c r="GH768" s="2579" t="str">
        <f t="shared" si="170"/>
        <v/>
      </c>
      <c r="GI768" s="2579" t="str">
        <f t="shared" si="171"/>
        <v/>
      </c>
      <c r="GJ768" s="2579" t="str">
        <f t="shared" si="172"/>
        <v/>
      </c>
      <c r="GK768" s="2579" t="str">
        <f t="shared" si="173"/>
        <v/>
      </c>
      <c r="GL768" s="2579" t="str">
        <f t="shared" si="174"/>
        <v/>
      </c>
      <c r="GM768" s="2579" t="str">
        <f t="shared" si="175"/>
        <v/>
      </c>
      <c r="GN768" s="2579" t="str">
        <f t="shared" si="176"/>
        <v/>
      </c>
      <c r="GO768" s="2579" t="str">
        <f t="shared" si="177"/>
        <v/>
      </c>
      <c r="GP768" s="2579" t="str">
        <f t="shared" si="178"/>
        <v/>
      </c>
      <c r="GQ768" s="2579" t="str">
        <f t="shared" si="179"/>
        <v/>
      </c>
      <c r="GR768" s="2579" t="str">
        <f t="shared" si="180"/>
        <v/>
      </c>
      <c r="GS768" s="2579" t="str">
        <f t="shared" si="181"/>
        <v/>
      </c>
      <c r="GT768" s="2579" t="str">
        <f t="shared" si="182"/>
        <v/>
      </c>
      <c r="GU768" s="2579" t="str">
        <f t="shared" si="183"/>
        <v/>
      </c>
      <c r="GV768" s="2579" t="str">
        <f t="shared" si="184"/>
        <v/>
      </c>
      <c r="GW768" s="2579" t="str">
        <f t="shared" si="185"/>
        <v/>
      </c>
      <c r="GX768" s="2579" t="str">
        <f t="shared" si="186"/>
        <v/>
      </c>
      <c r="GY768" s="2579" t="str">
        <f t="shared" si="187"/>
        <v/>
      </c>
      <c r="GZ768" s="2579" t="str">
        <f t="shared" si="188"/>
        <v/>
      </c>
      <c r="HA768" s="2579" t="str">
        <f t="shared" si="189"/>
        <v/>
      </c>
      <c r="HB768" s="2579" t="str">
        <f t="shared" si="190"/>
        <v/>
      </c>
      <c r="HC768" s="2579" t="str">
        <f t="shared" si="191"/>
        <v/>
      </c>
      <c r="HD768" s="2579" t="str">
        <f t="shared" si="192"/>
        <v/>
      </c>
      <c r="HE768" s="2579" t="str">
        <f t="shared" si="193"/>
        <v/>
      </c>
      <c r="HF768" s="2579" t="str">
        <f t="shared" si="194"/>
        <v/>
      </c>
      <c r="HG768" s="2579" t="str">
        <f t="shared" si="195"/>
        <v/>
      </c>
      <c r="HH768" s="2579" t="str">
        <f t="shared" si="196"/>
        <v/>
      </c>
      <c r="HI768" s="2579" t="str">
        <f t="shared" si="197"/>
        <v/>
      </c>
      <c r="HJ768" s="2579" t="str">
        <f t="shared" si="198"/>
        <v/>
      </c>
      <c r="HK768" s="2579" t="str">
        <f t="shared" si="199"/>
        <v/>
      </c>
      <c r="HL768" s="2579" t="str">
        <f t="shared" si="200"/>
        <v/>
      </c>
      <c r="HM768" s="2579" t="str">
        <f t="shared" si="201"/>
        <v/>
      </c>
      <c r="HN768" s="2579" t="str">
        <f t="shared" si="202"/>
        <v/>
      </c>
      <c r="HO768" s="2579" t="str">
        <f t="shared" si="203"/>
        <v/>
      </c>
      <c r="HP768" s="2579" t="str">
        <f t="shared" si="204"/>
        <v/>
      </c>
      <c r="HQ768" s="2579" t="str">
        <f t="shared" si="205"/>
        <v/>
      </c>
      <c r="HR768" s="2579" t="str">
        <f t="shared" si="206"/>
        <v/>
      </c>
      <c r="HS768" s="2579" t="str">
        <f t="shared" si="207"/>
        <v/>
      </c>
      <c r="HT768" s="2579" t="str">
        <f t="shared" si="208"/>
        <v/>
      </c>
      <c r="HU768" s="2579" t="str">
        <f t="shared" si="209"/>
        <v/>
      </c>
      <c r="HV768" s="2579" t="str">
        <f t="shared" si="210"/>
        <v/>
      </c>
      <c r="HW768" s="2579" t="str">
        <f t="shared" si="211"/>
        <v/>
      </c>
      <c r="HX768" s="2579" t="str">
        <f t="shared" si="212"/>
        <v/>
      </c>
      <c r="HY768" s="2579" t="str">
        <f t="shared" si="213"/>
        <v/>
      </c>
      <c r="HZ768" s="2579" t="str">
        <f t="shared" si="214"/>
        <v/>
      </c>
      <c r="IA768" s="2579" t="str">
        <f t="shared" si="215"/>
        <v/>
      </c>
      <c r="IB768" s="2579" t="str">
        <f t="shared" si="216"/>
        <v/>
      </c>
      <c r="IC768" s="2579" t="str">
        <f t="shared" si="217"/>
        <v/>
      </c>
      <c r="ID768" s="2551" t="str">
        <f t="shared" si="218"/>
        <v/>
      </c>
      <c r="IE768" s="2551" t="str">
        <f t="shared" si="219"/>
        <v/>
      </c>
      <c r="IF768" s="2551" t="str">
        <f t="shared" si="220"/>
        <v/>
      </c>
      <c r="IG768" s="2551" t="str">
        <f t="shared" si="221"/>
        <v/>
      </c>
      <c r="IH768" s="2551"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2549">
        <f t="shared" ref="JC768:JC804" si="243">IF(AND($C768="Efficiency",$E768&gt;0,OR($N768="1-Story",$N768="2-Story",$N768="3+ Story",$N768="2-Story Walkup",$N768="Townhome"),OR($O768="Acquisition/Rehab",$O768="Rehabilitation"),NOT($P768="Yes")),$E768,0)</f>
        <v>0</v>
      </c>
      <c r="JD768" s="2549">
        <f t="shared" ref="JD768:JD804" si="244">IF(AND($C768=1,$E768&gt;0,OR($N768="1-Story",$N768="2-Story",$N768="3+ Story",$N768="2-Story Walkup",$N768="Townhome"),OR($O768="Acquisition/Rehab",$O768="Rehabilitation"),NOT($P768="Yes")),$E768,0)</f>
        <v>0</v>
      </c>
      <c r="JE768" s="2549">
        <f t="shared" ref="JE768:JE804" si="245">IF(AND($C768=2,$E768&gt;0,OR($N768="1-Story",$N768="2-Story",$N768="3+ Story",$N768="2-Story Walkup",$N768="Townhome"),OR($O768="Acquisition/Rehab",$O768="Rehabilitation"),NOT($P768="Yes")),$E768,0)</f>
        <v>0</v>
      </c>
      <c r="JF768" s="2549">
        <f t="shared" ref="JF768:JF804" si="246">IF(AND($C768=3,$E768&gt;0,OR($N768="1-Story",$N768="2-Story",$N768="3+ Story",$N768="2-Story Walkup",$N768="Townhome"),OR($O768="Acquisition/Rehab",$O768="Rehabilitation"),NOT($P768="Yes")),$E768,0)</f>
        <v>0</v>
      </c>
      <c r="JG768" s="2549">
        <f t="shared" ref="JG768:JG804" si="247">IF(AND($C768=4,$E768&gt;0,OR($N768="1-Story",$N768="2-Story",$N768="3+ Story",$N768="2-Story Walkup",$N768="Townhome"),OR($O768="Acquisition/Rehab",$O768="Rehabilitation"),NOT($P768="Yes")),$E768,0)</f>
        <v>0</v>
      </c>
      <c r="JH768" s="2549">
        <f t="shared" ref="JH768:JH804" si="248">IF(AND($C768="Efficiency",$E768&gt;0,OR($N768="1-Story",$N768="2-Story",$N768="3+ Story",$N768="2-Story Walkup",$N768="Townhome"),$O768="New Construction"),$E768,0)</f>
        <v>0</v>
      </c>
      <c r="JI768" s="2549">
        <f t="shared" ref="JI768:JI804" si="249">IF(AND($C768=1,$E768&gt;0,OR($N768="1-Story",$N768="2-Story",$N768="3+ Story",$N768="2-Story Walkup",$N768="Townhome"),$O768="New Construction"),$E768,0)</f>
        <v>4</v>
      </c>
      <c r="JJ768" s="2549">
        <f t="shared" ref="JJ768:JJ804" si="250">IF(AND($C768=2,$E768&gt;0,OR($N768="1-Story",$N768="2-Story",$N768="3+ Story",$N768="2-Story Walkup",$N768="Townhome"),$O768="New Construction"),$E768,0)</f>
        <v>0</v>
      </c>
      <c r="JK768" s="2549">
        <f t="shared" ref="JK768:JK804" si="251">IF(AND($C768=3,$E768&gt;0,OR($N768="1-Story",$N768="2-Story",$N768="3+ Story",$N768="2-Story Walkup",$N768="Townhome"),$O768="New Construction"),$E768,0)</f>
        <v>0</v>
      </c>
      <c r="JL768" s="2549">
        <f t="shared" ref="JL768:JL804" si="252">IF(AND($C768=4,$E768&gt;0,OR($N768="1-Story",$N768="2-Story",$N768="3+ Story",$N768="2-Story Walkup",$N768="Townhome"),$O768="New Construction"),$E768,0)</f>
        <v>0</v>
      </c>
      <c r="JM768" s="2549">
        <f t="shared" ref="JM768:JM804" si="253">IF(AND($C768="Efficiency",$E768&gt;0,OR($N768="SF Detached",$N768="Duplex",$N768="Mfd Home"),NOT($P768="Yes")),$E768,0)</f>
        <v>0</v>
      </c>
      <c r="JN768" s="2549">
        <f t="shared" ref="JN768:JN804" si="254">IF(AND($C768=1,$E768&gt;0,OR($N768="SF Detached",$N768="Duplex",$N768="Mfd Home"),NOT($P768="Yes")),$E768,0)</f>
        <v>0</v>
      </c>
      <c r="JO768" s="2549">
        <f t="shared" ref="JO768:JO804" si="255">IF(AND($C768=2,$E768&gt;0,OR($N768="SF Detached",$N768="Duplex",$N768="Mfd Home"),NOT($P768="Yes")),$E768,0)</f>
        <v>0</v>
      </c>
      <c r="JP768" s="2549">
        <f t="shared" ref="JP768:JP804" si="256">IF(AND($C768=3,$E768&gt;0,OR($N768="SF Detached",$N768="Duplex",$N768="Mfd Home"),NOT($P768="Yes")),$E768,0)</f>
        <v>0</v>
      </c>
      <c r="JQ768" s="2549">
        <f t="shared" ref="JQ768:JQ804" si="257">IF(AND($C768=4,$E768&gt;0,OR($N768="SF Detached",$N768="Duplex",$N768="Mfd Home"),NOT($P768="Yes")),$E768,0)</f>
        <v>0</v>
      </c>
    </row>
    <row r="769" spans="1:277" ht="12" customHeight="1">
      <c r="A769" s="2562" t="str">
        <f t="shared" si="0"/>
        <v/>
      </c>
      <c r="B769" s="2571" t="str">
        <f>'Part VI-Revenues &amp; Expenses'!B12</f>
        <v>50% AMI</v>
      </c>
      <c r="C769" s="2572">
        <f>'Part VI-Revenues &amp; Expenses'!C12</f>
        <v>2</v>
      </c>
      <c r="D769" s="2573">
        <f>'Part VI-Revenues &amp; Expenses'!D12</f>
        <v>2</v>
      </c>
      <c r="E769" s="2574">
        <f>'Part VI-Revenues &amp; Expenses'!E12</f>
        <v>4</v>
      </c>
      <c r="F769" s="2574">
        <f>'Part VI-Revenues &amp; Expenses'!F12</f>
        <v>1050</v>
      </c>
      <c r="G769" s="2574">
        <f>'Part VI-Revenues &amp; Expenses'!G12</f>
        <v>523</v>
      </c>
      <c r="H769" s="2574">
        <f>'Part VI-Revenues &amp; Expenses'!H12</f>
        <v>518</v>
      </c>
      <c r="I769" s="2574">
        <f>'Part VI-Revenues &amp; Expenses'!I12</f>
        <v>121</v>
      </c>
      <c r="J769" s="2575">
        <f>'Part VI-Revenues &amp; Expenses'!J12</f>
        <v>0</v>
      </c>
      <c r="K769" s="2576">
        <f t="shared" si="1"/>
        <v>397</v>
      </c>
      <c r="L769" s="2576">
        <f t="shared" si="2"/>
        <v>1588</v>
      </c>
      <c r="M769" s="2450" t="str">
        <f>'Part VI-Revenues &amp; Expenses'!M12</f>
        <v>No</v>
      </c>
      <c r="N769" s="2450" t="str">
        <f>'Part VI-Revenues &amp; Expenses'!N12</f>
        <v>Townhome</v>
      </c>
      <c r="O769" s="2450" t="str">
        <f>'Part VI-Revenues &amp; Expenses'!O12</f>
        <v>New Construction</v>
      </c>
      <c r="P769" s="2556" t="str">
        <f>'Part VI-Revenues &amp; Expenses'!P12</f>
        <v>No</v>
      </c>
      <c r="Q769" s="2577">
        <f>'Part VI-Revenues &amp; Expenses'!Q12</f>
        <v>20720</v>
      </c>
      <c r="R769" s="2578">
        <f>'Part VI-Revenues &amp; Expenses'!R12</f>
        <v>0.5843203609701072</v>
      </c>
      <c r="S769" s="2577">
        <f>'Part VI-Revenues &amp; Expenses'!S12</f>
        <v>0</v>
      </c>
      <c r="T769" s="2578">
        <f>'Part VI-Revenues &amp; Expenses'!T12</f>
        <v>0</v>
      </c>
      <c r="U769" s="2500"/>
      <c r="V769" s="2500"/>
      <c r="W769" s="683" t="str">
        <f t="shared" si="3"/>
        <v/>
      </c>
      <c r="X769" s="683" t="str">
        <f t="shared" si="4"/>
        <v/>
      </c>
      <c r="Y769" s="683" t="str">
        <f t="shared" si="5"/>
        <v/>
      </c>
      <c r="Z769" s="683" t="str">
        <f t="shared" si="6"/>
        <v/>
      </c>
      <c r="AA769" s="683" t="str">
        <f t="shared" si="7"/>
        <v/>
      </c>
      <c r="AB769" s="683" t="str">
        <f t="shared" si="8"/>
        <v/>
      </c>
      <c r="AC769" s="683" t="str">
        <f t="shared" si="9"/>
        <v/>
      </c>
      <c r="AD769" s="683">
        <f t="shared" si="10"/>
        <v>4</v>
      </c>
      <c r="AE769" s="683" t="str">
        <f t="shared" si="11"/>
        <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t="str">
        <f t="shared" si="19"/>
        <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t="str">
        <f t="shared" si="59"/>
        <v/>
      </c>
      <c r="CB769" s="683" t="str">
        <f t="shared" si="60"/>
        <v/>
      </c>
      <c r="CC769" s="683" t="str">
        <f t="shared" si="61"/>
        <v/>
      </c>
      <c r="CD769" s="683" t="str">
        <f t="shared" si="62"/>
        <v/>
      </c>
      <c r="CE769" s="683" t="str">
        <f t="shared" si="63"/>
        <v/>
      </c>
      <c r="CF769" s="683" t="str">
        <f t="shared" si="64"/>
        <v/>
      </c>
      <c r="CG769" s="683">
        <f t="shared" si="65"/>
        <v>4200</v>
      </c>
      <c r="CH769" s="683" t="str">
        <f t="shared" si="66"/>
        <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t="str">
        <f t="shared" si="74"/>
        <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t="str">
        <f t="shared" si="89"/>
        <v/>
      </c>
      <c r="DF769" s="683">
        <f t="shared" si="90"/>
        <v>4</v>
      </c>
      <c r="DG769" s="683" t="str">
        <f t="shared" si="91"/>
        <v/>
      </c>
      <c r="DH769" s="683" t="str">
        <f t="shared" si="92"/>
        <v/>
      </c>
      <c r="DI769" s="683" t="str">
        <f t="shared" si="93"/>
        <v/>
      </c>
      <c r="DJ769" s="683" t="str">
        <f t="shared" si="94"/>
        <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t="str">
        <f t="shared" si="119"/>
        <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2579" t="str">
        <f t="shared" si="133"/>
        <v/>
      </c>
      <c r="EX769" s="2579" t="str">
        <f t="shared" si="134"/>
        <v/>
      </c>
      <c r="EY769" s="2579" t="str">
        <f t="shared" si="135"/>
        <v/>
      </c>
      <c r="EZ769" s="2579" t="str">
        <f t="shared" si="136"/>
        <v/>
      </c>
      <c r="FA769" s="2579" t="str">
        <f t="shared" si="137"/>
        <v/>
      </c>
      <c r="FB769" s="2579" t="str">
        <f t="shared" si="138"/>
        <v/>
      </c>
      <c r="FC769" s="2579" t="str">
        <f t="shared" si="139"/>
        <v/>
      </c>
      <c r="FD769" s="2579" t="str">
        <f t="shared" si="140"/>
        <v/>
      </c>
      <c r="FE769" s="2579" t="str">
        <f t="shared" si="141"/>
        <v/>
      </c>
      <c r="FF769" s="2579" t="str">
        <f t="shared" si="142"/>
        <v/>
      </c>
      <c r="FG769" s="2579" t="str">
        <f t="shared" si="143"/>
        <v/>
      </c>
      <c r="FH769" s="2579" t="str">
        <f t="shared" si="144"/>
        <v/>
      </c>
      <c r="FI769" s="2579" t="str">
        <f t="shared" si="145"/>
        <v/>
      </c>
      <c r="FJ769" s="2579" t="str">
        <f t="shared" si="146"/>
        <v/>
      </c>
      <c r="FK769" s="2579" t="str">
        <f t="shared" si="147"/>
        <v/>
      </c>
      <c r="FL769" s="2579" t="str">
        <f t="shared" si="148"/>
        <v/>
      </c>
      <c r="FM769" s="2579" t="str">
        <f t="shared" si="149"/>
        <v/>
      </c>
      <c r="FN769" s="2579" t="str">
        <f t="shared" si="150"/>
        <v/>
      </c>
      <c r="FO769" s="2579" t="str">
        <f t="shared" si="151"/>
        <v/>
      </c>
      <c r="FP769" s="2579" t="str">
        <f t="shared" si="152"/>
        <v/>
      </c>
      <c r="FQ769" s="2579" t="str">
        <f t="shared" si="153"/>
        <v/>
      </c>
      <c r="FR769" s="2579" t="str">
        <f t="shared" si="154"/>
        <v/>
      </c>
      <c r="FS769" s="2579" t="str">
        <f t="shared" si="155"/>
        <v/>
      </c>
      <c r="FT769" s="2579" t="str">
        <f t="shared" si="156"/>
        <v/>
      </c>
      <c r="FU769" s="2579" t="str">
        <f t="shared" si="157"/>
        <v/>
      </c>
      <c r="FV769" s="2579" t="str">
        <f t="shared" si="158"/>
        <v/>
      </c>
      <c r="FW769" s="2579" t="str">
        <f t="shared" si="159"/>
        <v/>
      </c>
      <c r="FX769" s="2579" t="str">
        <f t="shared" si="160"/>
        <v/>
      </c>
      <c r="FY769" s="2579" t="str">
        <f t="shared" si="161"/>
        <v/>
      </c>
      <c r="FZ769" s="2579" t="str">
        <f t="shared" si="162"/>
        <v/>
      </c>
      <c r="GA769" s="2579" t="str">
        <f t="shared" si="163"/>
        <v/>
      </c>
      <c r="GB769" s="2579" t="str">
        <f t="shared" si="164"/>
        <v/>
      </c>
      <c r="GC769" s="2579" t="str">
        <f t="shared" si="165"/>
        <v/>
      </c>
      <c r="GD769" s="2579" t="str">
        <f t="shared" si="166"/>
        <v/>
      </c>
      <c r="GE769" s="2579" t="str">
        <f t="shared" si="167"/>
        <v/>
      </c>
      <c r="GF769" s="2579" t="str">
        <f t="shared" si="168"/>
        <v/>
      </c>
      <c r="GG769" s="2579" t="str">
        <f t="shared" si="169"/>
        <v/>
      </c>
      <c r="GH769" s="2579">
        <f t="shared" si="170"/>
        <v>4</v>
      </c>
      <c r="GI769" s="2579" t="str">
        <f t="shared" si="171"/>
        <v/>
      </c>
      <c r="GJ769" s="2579" t="str">
        <f t="shared" si="172"/>
        <v/>
      </c>
      <c r="GK769" s="2579" t="str">
        <f t="shared" si="173"/>
        <v/>
      </c>
      <c r="GL769" s="2579" t="str">
        <f t="shared" si="174"/>
        <v/>
      </c>
      <c r="GM769" s="2579" t="str">
        <f t="shared" si="175"/>
        <v/>
      </c>
      <c r="GN769" s="2579" t="str">
        <f t="shared" si="176"/>
        <v/>
      </c>
      <c r="GO769" s="2579" t="str">
        <f t="shared" si="177"/>
        <v/>
      </c>
      <c r="GP769" s="2579" t="str">
        <f t="shared" si="178"/>
        <v/>
      </c>
      <c r="GQ769" s="2579" t="str">
        <f t="shared" si="179"/>
        <v/>
      </c>
      <c r="GR769" s="2579" t="str">
        <f t="shared" si="180"/>
        <v/>
      </c>
      <c r="GS769" s="2579" t="str">
        <f t="shared" si="181"/>
        <v/>
      </c>
      <c r="GT769" s="2579" t="str">
        <f t="shared" si="182"/>
        <v/>
      </c>
      <c r="GU769" s="2579" t="str">
        <f t="shared" si="183"/>
        <v/>
      </c>
      <c r="GV769" s="2579" t="str">
        <f t="shared" si="184"/>
        <v/>
      </c>
      <c r="GW769" s="2579" t="str">
        <f t="shared" si="185"/>
        <v/>
      </c>
      <c r="GX769" s="2579" t="str">
        <f t="shared" si="186"/>
        <v/>
      </c>
      <c r="GY769" s="2579" t="str">
        <f t="shared" si="187"/>
        <v/>
      </c>
      <c r="GZ769" s="2579" t="str">
        <f t="shared" si="188"/>
        <v/>
      </c>
      <c r="HA769" s="2579" t="str">
        <f t="shared" si="189"/>
        <v/>
      </c>
      <c r="HB769" s="2579" t="str">
        <f t="shared" si="190"/>
        <v/>
      </c>
      <c r="HC769" s="2579" t="str">
        <f t="shared" si="191"/>
        <v/>
      </c>
      <c r="HD769" s="2579" t="str">
        <f t="shared" si="192"/>
        <v/>
      </c>
      <c r="HE769" s="2579" t="str">
        <f t="shared" si="193"/>
        <v/>
      </c>
      <c r="HF769" s="2579" t="str">
        <f t="shared" si="194"/>
        <v/>
      </c>
      <c r="HG769" s="2579" t="str">
        <f t="shared" si="195"/>
        <v/>
      </c>
      <c r="HH769" s="2579" t="str">
        <f t="shared" si="196"/>
        <v/>
      </c>
      <c r="HI769" s="2579" t="str">
        <f t="shared" si="197"/>
        <v/>
      </c>
      <c r="HJ769" s="2579" t="str">
        <f t="shared" si="198"/>
        <v/>
      </c>
      <c r="HK769" s="2579" t="str">
        <f t="shared" si="199"/>
        <v/>
      </c>
      <c r="HL769" s="2579" t="str">
        <f t="shared" si="200"/>
        <v/>
      </c>
      <c r="HM769" s="2579" t="str">
        <f t="shared" si="201"/>
        <v/>
      </c>
      <c r="HN769" s="2579" t="str">
        <f t="shared" si="202"/>
        <v/>
      </c>
      <c r="HO769" s="2579" t="str">
        <f t="shared" si="203"/>
        <v/>
      </c>
      <c r="HP769" s="2579" t="str">
        <f t="shared" si="204"/>
        <v/>
      </c>
      <c r="HQ769" s="2579" t="str">
        <f t="shared" si="205"/>
        <v/>
      </c>
      <c r="HR769" s="2579" t="str">
        <f t="shared" si="206"/>
        <v/>
      </c>
      <c r="HS769" s="2579" t="str">
        <f t="shared" si="207"/>
        <v/>
      </c>
      <c r="HT769" s="2579" t="str">
        <f t="shared" si="208"/>
        <v/>
      </c>
      <c r="HU769" s="2579" t="str">
        <f t="shared" si="209"/>
        <v/>
      </c>
      <c r="HV769" s="2579" t="str">
        <f t="shared" si="210"/>
        <v/>
      </c>
      <c r="HW769" s="2579" t="str">
        <f t="shared" si="211"/>
        <v/>
      </c>
      <c r="HX769" s="2579" t="str">
        <f t="shared" si="212"/>
        <v/>
      </c>
      <c r="HY769" s="2579" t="str">
        <f t="shared" si="213"/>
        <v/>
      </c>
      <c r="HZ769" s="2579" t="str">
        <f t="shared" si="214"/>
        <v/>
      </c>
      <c r="IA769" s="2579" t="str">
        <f t="shared" si="215"/>
        <v/>
      </c>
      <c r="IB769" s="2579" t="str">
        <f t="shared" si="216"/>
        <v/>
      </c>
      <c r="IC769" s="2579" t="str">
        <f t="shared" si="217"/>
        <v/>
      </c>
      <c r="ID769" s="2551" t="str">
        <f t="shared" si="218"/>
        <v/>
      </c>
      <c r="IE769" s="2551" t="str">
        <f t="shared" si="219"/>
        <v/>
      </c>
      <c r="IF769" s="2551" t="str">
        <f t="shared" si="220"/>
        <v/>
      </c>
      <c r="IG769" s="2551" t="str">
        <f t="shared" si="221"/>
        <v/>
      </c>
      <c r="IH769" s="2551"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2549">
        <f t="shared" si="243"/>
        <v>0</v>
      </c>
      <c r="JD769" s="2549">
        <f t="shared" si="244"/>
        <v>0</v>
      </c>
      <c r="JE769" s="2549">
        <f t="shared" si="245"/>
        <v>0</v>
      </c>
      <c r="JF769" s="2549">
        <f t="shared" si="246"/>
        <v>0</v>
      </c>
      <c r="JG769" s="2549">
        <f t="shared" si="247"/>
        <v>0</v>
      </c>
      <c r="JH769" s="2549">
        <f t="shared" si="248"/>
        <v>0</v>
      </c>
      <c r="JI769" s="2549">
        <f t="shared" si="249"/>
        <v>0</v>
      </c>
      <c r="JJ769" s="2549">
        <f t="shared" si="250"/>
        <v>4</v>
      </c>
      <c r="JK769" s="2549">
        <f t="shared" si="251"/>
        <v>0</v>
      </c>
      <c r="JL769" s="2549">
        <f t="shared" si="252"/>
        <v>0</v>
      </c>
      <c r="JM769" s="2549">
        <f t="shared" si="253"/>
        <v>0</v>
      </c>
      <c r="JN769" s="2549">
        <f t="shared" si="254"/>
        <v>0</v>
      </c>
      <c r="JO769" s="2549">
        <f t="shared" si="255"/>
        <v>0</v>
      </c>
      <c r="JP769" s="2549">
        <f t="shared" si="256"/>
        <v>0</v>
      </c>
      <c r="JQ769" s="2549">
        <f t="shared" si="257"/>
        <v>0</v>
      </c>
    </row>
    <row r="770" spans="1:277" ht="12" customHeight="1">
      <c r="A770" s="2562" t="str">
        <f t="shared" si="0"/>
        <v/>
      </c>
      <c r="B770" s="2571" t="str">
        <f>'Part VI-Revenues &amp; Expenses'!B13</f>
        <v>60% AMI</v>
      </c>
      <c r="C770" s="2572">
        <f>'Part VI-Revenues &amp; Expenses'!C13</f>
        <v>2</v>
      </c>
      <c r="D770" s="2573">
        <f>'Part VI-Revenues &amp; Expenses'!D13</f>
        <v>2</v>
      </c>
      <c r="E770" s="2574">
        <f>'Part VI-Revenues &amp; Expenses'!E13</f>
        <v>20</v>
      </c>
      <c r="F770" s="2574">
        <f>'Part VI-Revenues &amp; Expenses'!F13</f>
        <v>1050</v>
      </c>
      <c r="G770" s="2574">
        <f>'Part VI-Revenues &amp; Expenses'!G13</f>
        <v>628</v>
      </c>
      <c r="H770" s="2574">
        <f>'Part VI-Revenues &amp; Expenses'!H13</f>
        <v>623</v>
      </c>
      <c r="I770" s="2574">
        <f>'Part VI-Revenues &amp; Expenses'!I13</f>
        <v>121</v>
      </c>
      <c r="J770" s="2575">
        <f>'Part VI-Revenues &amp; Expenses'!J13</f>
        <v>0</v>
      </c>
      <c r="K770" s="2576">
        <f t="shared" si="1"/>
        <v>502</v>
      </c>
      <c r="L770" s="2576">
        <f t="shared" si="2"/>
        <v>10040</v>
      </c>
      <c r="M770" s="2450" t="str">
        <f>'Part VI-Revenues &amp; Expenses'!M13</f>
        <v>No</v>
      </c>
      <c r="N770" s="2450" t="str">
        <f>'Part VI-Revenues &amp; Expenses'!N13</f>
        <v>Townhome</v>
      </c>
      <c r="O770" s="2450" t="str">
        <f>'Part VI-Revenues &amp; Expenses'!O13</f>
        <v>New Construction</v>
      </c>
      <c r="P770" s="2556" t="str">
        <f>'Part VI-Revenues &amp; Expenses'!P13</f>
        <v>No</v>
      </c>
      <c r="Q770" s="2577">
        <f>'Part VI-Revenues &amp; Expenses'!Q13</f>
        <v>24920</v>
      </c>
      <c r="R770" s="2578">
        <f>'Part VI-Revenues &amp; Expenses'!R13</f>
        <v>0.70276367738296674</v>
      </c>
      <c r="S770" s="2577">
        <f>'Part VI-Revenues &amp; Expenses'!S13</f>
        <v>0</v>
      </c>
      <c r="T770" s="2578">
        <f>'Part VI-Revenues &amp; Expenses'!T13</f>
        <v>0</v>
      </c>
      <c r="U770" s="2500"/>
      <c r="V770" s="2500"/>
      <c r="W770" s="683" t="str">
        <f t="shared" si="3"/>
        <v/>
      </c>
      <c r="X770" s="683" t="str">
        <f t="shared" si="4"/>
        <v/>
      </c>
      <c r="Y770" s="683">
        <f t="shared" si="5"/>
        <v>20</v>
      </c>
      <c r="Z770" s="683" t="str">
        <f t="shared" si="6"/>
        <v/>
      </c>
      <c r="AA770" s="683" t="str">
        <f t="shared" si="7"/>
        <v/>
      </c>
      <c r="AB770" s="683" t="str">
        <f t="shared" si="8"/>
        <v/>
      </c>
      <c r="AC770" s="683" t="str">
        <f t="shared" si="9"/>
        <v/>
      </c>
      <c r="AD770" s="683" t="str">
        <f t="shared" si="10"/>
        <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t="str">
        <f t="shared" si="58"/>
        <v/>
      </c>
      <c r="CA770" s="683" t="str">
        <f t="shared" si="59"/>
        <v/>
      </c>
      <c r="CB770" s="683">
        <f t="shared" si="60"/>
        <v>21000</v>
      </c>
      <c r="CC770" s="683" t="str">
        <f t="shared" si="61"/>
        <v/>
      </c>
      <c r="CD770" s="683" t="str">
        <f t="shared" si="62"/>
        <v/>
      </c>
      <c r="CE770" s="683" t="str">
        <f t="shared" si="63"/>
        <v/>
      </c>
      <c r="CF770" s="683" t="str">
        <f t="shared" si="64"/>
        <v/>
      </c>
      <c r="CG770" s="683" t="str">
        <f t="shared" si="65"/>
        <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t="str">
        <f t="shared" si="89"/>
        <v/>
      </c>
      <c r="DF770" s="683">
        <f t="shared" si="90"/>
        <v>20</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t="str">
        <f t="shared" si="118"/>
        <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2579" t="str">
        <f t="shared" si="133"/>
        <v/>
      </c>
      <c r="EX770" s="2579" t="str">
        <f t="shared" si="134"/>
        <v/>
      </c>
      <c r="EY770" s="2579" t="str">
        <f t="shared" si="135"/>
        <v/>
      </c>
      <c r="EZ770" s="2579" t="str">
        <f t="shared" si="136"/>
        <v/>
      </c>
      <c r="FA770" s="2579" t="str">
        <f t="shared" si="137"/>
        <v/>
      </c>
      <c r="FB770" s="2579" t="str">
        <f t="shared" si="138"/>
        <v/>
      </c>
      <c r="FC770" s="2579" t="str">
        <f t="shared" si="139"/>
        <v/>
      </c>
      <c r="FD770" s="2579" t="str">
        <f t="shared" si="140"/>
        <v/>
      </c>
      <c r="FE770" s="2579" t="str">
        <f t="shared" si="141"/>
        <v/>
      </c>
      <c r="FF770" s="2579" t="str">
        <f t="shared" si="142"/>
        <v/>
      </c>
      <c r="FG770" s="2579" t="str">
        <f t="shared" si="143"/>
        <v/>
      </c>
      <c r="FH770" s="2579" t="str">
        <f t="shared" si="144"/>
        <v/>
      </c>
      <c r="FI770" s="2579" t="str">
        <f t="shared" si="145"/>
        <v/>
      </c>
      <c r="FJ770" s="2579" t="str">
        <f t="shared" si="146"/>
        <v/>
      </c>
      <c r="FK770" s="2579" t="str">
        <f t="shared" si="147"/>
        <v/>
      </c>
      <c r="FL770" s="2579" t="str">
        <f t="shared" si="148"/>
        <v/>
      </c>
      <c r="FM770" s="2579" t="str">
        <f t="shared" si="149"/>
        <v/>
      </c>
      <c r="FN770" s="2579" t="str">
        <f t="shared" si="150"/>
        <v/>
      </c>
      <c r="FO770" s="2579" t="str">
        <f t="shared" si="151"/>
        <v/>
      </c>
      <c r="FP770" s="2579" t="str">
        <f t="shared" si="152"/>
        <v/>
      </c>
      <c r="FQ770" s="2579" t="str">
        <f t="shared" si="153"/>
        <v/>
      </c>
      <c r="FR770" s="2579" t="str">
        <f t="shared" si="154"/>
        <v/>
      </c>
      <c r="FS770" s="2579" t="str">
        <f t="shared" si="155"/>
        <v/>
      </c>
      <c r="FT770" s="2579" t="str">
        <f t="shared" si="156"/>
        <v/>
      </c>
      <c r="FU770" s="2579" t="str">
        <f t="shared" si="157"/>
        <v/>
      </c>
      <c r="FV770" s="2579" t="str">
        <f t="shared" si="158"/>
        <v/>
      </c>
      <c r="FW770" s="2579" t="str">
        <f t="shared" si="159"/>
        <v/>
      </c>
      <c r="FX770" s="2579" t="str">
        <f t="shared" si="160"/>
        <v/>
      </c>
      <c r="FY770" s="2579" t="str">
        <f t="shared" si="161"/>
        <v/>
      </c>
      <c r="FZ770" s="2579" t="str">
        <f t="shared" si="162"/>
        <v/>
      </c>
      <c r="GA770" s="2579" t="str">
        <f t="shared" si="163"/>
        <v/>
      </c>
      <c r="GB770" s="2579" t="str">
        <f t="shared" si="164"/>
        <v/>
      </c>
      <c r="GC770" s="2579" t="str">
        <f t="shared" si="165"/>
        <v/>
      </c>
      <c r="GD770" s="2579" t="str">
        <f t="shared" si="166"/>
        <v/>
      </c>
      <c r="GE770" s="2579" t="str">
        <f t="shared" si="167"/>
        <v/>
      </c>
      <c r="GF770" s="2579" t="str">
        <f t="shared" si="168"/>
        <v/>
      </c>
      <c r="GG770" s="2579" t="str">
        <f t="shared" si="169"/>
        <v/>
      </c>
      <c r="GH770" s="2579">
        <f t="shared" si="170"/>
        <v>20</v>
      </c>
      <c r="GI770" s="2579" t="str">
        <f t="shared" si="171"/>
        <v/>
      </c>
      <c r="GJ770" s="2579" t="str">
        <f t="shared" si="172"/>
        <v/>
      </c>
      <c r="GK770" s="2579" t="str">
        <f t="shared" si="173"/>
        <v/>
      </c>
      <c r="GL770" s="2579" t="str">
        <f t="shared" si="174"/>
        <v/>
      </c>
      <c r="GM770" s="2579" t="str">
        <f t="shared" si="175"/>
        <v/>
      </c>
      <c r="GN770" s="2579" t="str">
        <f t="shared" si="176"/>
        <v/>
      </c>
      <c r="GO770" s="2579" t="str">
        <f t="shared" si="177"/>
        <v/>
      </c>
      <c r="GP770" s="2579" t="str">
        <f t="shared" si="178"/>
        <v/>
      </c>
      <c r="GQ770" s="2579" t="str">
        <f t="shared" si="179"/>
        <v/>
      </c>
      <c r="GR770" s="2579" t="str">
        <f t="shared" si="180"/>
        <v/>
      </c>
      <c r="GS770" s="2579" t="str">
        <f t="shared" si="181"/>
        <v/>
      </c>
      <c r="GT770" s="2579" t="str">
        <f t="shared" si="182"/>
        <v/>
      </c>
      <c r="GU770" s="2579" t="str">
        <f t="shared" si="183"/>
        <v/>
      </c>
      <c r="GV770" s="2579" t="str">
        <f t="shared" si="184"/>
        <v/>
      </c>
      <c r="GW770" s="2579" t="str">
        <f t="shared" si="185"/>
        <v/>
      </c>
      <c r="GX770" s="2579" t="str">
        <f t="shared" si="186"/>
        <v/>
      </c>
      <c r="GY770" s="2579" t="str">
        <f t="shared" si="187"/>
        <v/>
      </c>
      <c r="GZ770" s="2579" t="str">
        <f t="shared" si="188"/>
        <v/>
      </c>
      <c r="HA770" s="2579" t="str">
        <f t="shared" si="189"/>
        <v/>
      </c>
      <c r="HB770" s="2579" t="str">
        <f t="shared" si="190"/>
        <v/>
      </c>
      <c r="HC770" s="2579" t="str">
        <f t="shared" si="191"/>
        <v/>
      </c>
      <c r="HD770" s="2579" t="str">
        <f t="shared" si="192"/>
        <v/>
      </c>
      <c r="HE770" s="2579" t="str">
        <f t="shared" si="193"/>
        <v/>
      </c>
      <c r="HF770" s="2579" t="str">
        <f t="shared" si="194"/>
        <v/>
      </c>
      <c r="HG770" s="2579" t="str">
        <f t="shared" si="195"/>
        <v/>
      </c>
      <c r="HH770" s="2579" t="str">
        <f t="shared" si="196"/>
        <v/>
      </c>
      <c r="HI770" s="2579" t="str">
        <f t="shared" si="197"/>
        <v/>
      </c>
      <c r="HJ770" s="2579" t="str">
        <f t="shared" si="198"/>
        <v/>
      </c>
      <c r="HK770" s="2579" t="str">
        <f t="shared" si="199"/>
        <v/>
      </c>
      <c r="HL770" s="2579" t="str">
        <f t="shared" si="200"/>
        <v/>
      </c>
      <c r="HM770" s="2579" t="str">
        <f t="shared" si="201"/>
        <v/>
      </c>
      <c r="HN770" s="2579" t="str">
        <f t="shared" si="202"/>
        <v/>
      </c>
      <c r="HO770" s="2579" t="str">
        <f t="shared" si="203"/>
        <v/>
      </c>
      <c r="HP770" s="2579" t="str">
        <f t="shared" si="204"/>
        <v/>
      </c>
      <c r="HQ770" s="2579" t="str">
        <f t="shared" si="205"/>
        <v/>
      </c>
      <c r="HR770" s="2579" t="str">
        <f t="shared" si="206"/>
        <v/>
      </c>
      <c r="HS770" s="2579" t="str">
        <f t="shared" si="207"/>
        <v/>
      </c>
      <c r="HT770" s="2579" t="str">
        <f t="shared" si="208"/>
        <v/>
      </c>
      <c r="HU770" s="2579" t="str">
        <f t="shared" si="209"/>
        <v/>
      </c>
      <c r="HV770" s="2579" t="str">
        <f t="shared" si="210"/>
        <v/>
      </c>
      <c r="HW770" s="2579" t="str">
        <f t="shared" si="211"/>
        <v/>
      </c>
      <c r="HX770" s="2579" t="str">
        <f t="shared" si="212"/>
        <v/>
      </c>
      <c r="HY770" s="2579" t="str">
        <f t="shared" si="213"/>
        <v/>
      </c>
      <c r="HZ770" s="2579" t="str">
        <f t="shared" si="214"/>
        <v/>
      </c>
      <c r="IA770" s="2579" t="str">
        <f t="shared" si="215"/>
        <v/>
      </c>
      <c r="IB770" s="2579" t="str">
        <f t="shared" si="216"/>
        <v/>
      </c>
      <c r="IC770" s="2579" t="str">
        <f t="shared" si="217"/>
        <v/>
      </c>
      <c r="ID770" s="2551" t="str">
        <f t="shared" si="218"/>
        <v/>
      </c>
      <c r="IE770" s="2551" t="str">
        <f t="shared" si="219"/>
        <v/>
      </c>
      <c r="IF770" s="2551" t="str">
        <f t="shared" si="220"/>
        <v/>
      </c>
      <c r="IG770" s="2551" t="str">
        <f t="shared" si="221"/>
        <v/>
      </c>
      <c r="IH770" s="2551"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2549">
        <f t="shared" si="243"/>
        <v>0</v>
      </c>
      <c r="JD770" s="2549">
        <f t="shared" si="244"/>
        <v>0</v>
      </c>
      <c r="JE770" s="2549">
        <f t="shared" si="245"/>
        <v>0</v>
      </c>
      <c r="JF770" s="2549">
        <f t="shared" si="246"/>
        <v>0</v>
      </c>
      <c r="JG770" s="2549">
        <f t="shared" si="247"/>
        <v>0</v>
      </c>
      <c r="JH770" s="2549">
        <f t="shared" si="248"/>
        <v>0</v>
      </c>
      <c r="JI770" s="2549">
        <f t="shared" si="249"/>
        <v>0</v>
      </c>
      <c r="JJ770" s="2549">
        <f t="shared" si="250"/>
        <v>20</v>
      </c>
      <c r="JK770" s="2549">
        <f t="shared" si="251"/>
        <v>0</v>
      </c>
      <c r="JL770" s="2549">
        <f t="shared" si="252"/>
        <v>0</v>
      </c>
      <c r="JM770" s="2549">
        <f t="shared" si="253"/>
        <v>0</v>
      </c>
      <c r="JN770" s="2549">
        <f t="shared" si="254"/>
        <v>0</v>
      </c>
      <c r="JO770" s="2549">
        <f t="shared" si="255"/>
        <v>0</v>
      </c>
      <c r="JP770" s="2549">
        <f t="shared" si="256"/>
        <v>0</v>
      </c>
      <c r="JQ770" s="2549">
        <f t="shared" si="257"/>
        <v>0</v>
      </c>
    </row>
    <row r="771" spans="1:277" ht="12" customHeight="1">
      <c r="A771" s="2562" t="str">
        <f t="shared" si="0"/>
        <v/>
      </c>
      <c r="B771" s="2571" t="str">
        <f>'Part VI-Revenues &amp; Expenses'!B14</f>
        <v>50% AMI</v>
      </c>
      <c r="C771" s="2572">
        <f>'Part VI-Revenues &amp; Expenses'!C14</f>
        <v>3</v>
      </c>
      <c r="D771" s="2573">
        <f>'Part VI-Revenues &amp; Expenses'!D14</f>
        <v>2</v>
      </c>
      <c r="E771" s="2574">
        <f>'Part VI-Revenues &amp; Expenses'!E14</f>
        <v>4</v>
      </c>
      <c r="F771" s="2574">
        <f>'Part VI-Revenues &amp; Expenses'!F14</f>
        <v>1250</v>
      </c>
      <c r="G771" s="2574">
        <f>'Part VI-Revenues &amp; Expenses'!G14</f>
        <v>605</v>
      </c>
      <c r="H771" s="2574">
        <f>'Part VI-Revenues &amp; Expenses'!H14</f>
        <v>600</v>
      </c>
      <c r="I771" s="2574">
        <f>'Part VI-Revenues &amp; Expenses'!I14</f>
        <v>148</v>
      </c>
      <c r="J771" s="2575">
        <f>'Part VI-Revenues &amp; Expenses'!J14</f>
        <v>0</v>
      </c>
      <c r="K771" s="2576">
        <f t="shared" si="1"/>
        <v>452</v>
      </c>
      <c r="L771" s="2576">
        <f t="shared" si="2"/>
        <v>1808</v>
      </c>
      <c r="M771" s="2450" t="str">
        <f>'Part VI-Revenues &amp; Expenses'!M14</f>
        <v>No</v>
      </c>
      <c r="N771" s="2450" t="str">
        <f>'Part VI-Revenues &amp; Expenses'!N14</f>
        <v>Townhome</v>
      </c>
      <c r="O771" s="2450" t="str">
        <f>'Part VI-Revenues &amp; Expenses'!O14</f>
        <v>New Construction</v>
      </c>
      <c r="P771" s="2556" t="str">
        <f>'Part VI-Revenues &amp; Expenses'!P14</f>
        <v>No</v>
      </c>
      <c r="Q771" s="2577">
        <f>'Part VI-Revenues &amp; Expenses'!Q14</f>
        <v>24000</v>
      </c>
      <c r="R771" s="2578">
        <f>'Part VI-Revenues &amp; Expenses'!R14</f>
        <v>0.5857087075361187</v>
      </c>
      <c r="S771" s="2577">
        <f>'Part VI-Revenues &amp; Expenses'!S14</f>
        <v>0</v>
      </c>
      <c r="T771" s="2578">
        <f>'Part VI-Revenues &amp; Expenses'!T14</f>
        <v>0</v>
      </c>
      <c r="U771" s="2500"/>
      <c r="V771" s="2500"/>
      <c r="W771" s="683" t="str">
        <f t="shared" si="3"/>
        <v/>
      </c>
      <c r="X771" s="683" t="str">
        <f t="shared" si="4"/>
        <v/>
      </c>
      <c r="Y771" s="683" t="str">
        <f t="shared" si="5"/>
        <v/>
      </c>
      <c r="Z771" s="683" t="str">
        <f t="shared" si="6"/>
        <v/>
      </c>
      <c r="AA771" s="683" t="str">
        <f t="shared" si="7"/>
        <v/>
      </c>
      <c r="AB771" s="683" t="str">
        <f t="shared" si="8"/>
        <v/>
      </c>
      <c r="AC771" s="683" t="str">
        <f t="shared" si="9"/>
        <v/>
      </c>
      <c r="AD771" s="683" t="str">
        <f t="shared" si="10"/>
        <v/>
      </c>
      <c r="AE771" s="683">
        <f t="shared" si="11"/>
        <v>4</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t="str">
        <f t="shared" si="19"/>
        <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t="str">
        <f t="shared" si="58"/>
        <v/>
      </c>
      <c r="CA771" s="683" t="str">
        <f t="shared" si="59"/>
        <v/>
      </c>
      <c r="CB771" s="683" t="str">
        <f t="shared" si="60"/>
        <v/>
      </c>
      <c r="CC771" s="683" t="str">
        <f t="shared" si="61"/>
        <v/>
      </c>
      <c r="CD771" s="683" t="str">
        <f t="shared" si="62"/>
        <v/>
      </c>
      <c r="CE771" s="683" t="str">
        <f t="shared" si="63"/>
        <v/>
      </c>
      <c r="CF771" s="683" t="str">
        <f t="shared" si="64"/>
        <v/>
      </c>
      <c r="CG771" s="683" t="str">
        <f t="shared" si="65"/>
        <v/>
      </c>
      <c r="CH771" s="683">
        <f t="shared" si="66"/>
        <v>5000</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t="str">
        <f t="shared" si="74"/>
        <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t="str">
        <f t="shared" si="90"/>
        <v/>
      </c>
      <c r="DG771" s="683">
        <f t="shared" si="91"/>
        <v>4</v>
      </c>
      <c r="DH771" s="683" t="str">
        <f t="shared" si="92"/>
        <v/>
      </c>
      <c r="DI771" s="683" t="str">
        <f t="shared" si="93"/>
        <v/>
      </c>
      <c r="DJ771" s="683" t="str">
        <f t="shared" si="94"/>
        <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t="str">
        <f t="shared" si="118"/>
        <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2579" t="str">
        <f t="shared" si="133"/>
        <v/>
      </c>
      <c r="EX771" s="2579" t="str">
        <f t="shared" si="134"/>
        <v/>
      </c>
      <c r="EY771" s="2579" t="str">
        <f t="shared" si="135"/>
        <v/>
      </c>
      <c r="EZ771" s="2579" t="str">
        <f t="shared" si="136"/>
        <v/>
      </c>
      <c r="FA771" s="2579" t="str">
        <f t="shared" si="137"/>
        <v/>
      </c>
      <c r="FB771" s="2579" t="str">
        <f t="shared" si="138"/>
        <v/>
      </c>
      <c r="FC771" s="2579" t="str">
        <f t="shared" si="139"/>
        <v/>
      </c>
      <c r="FD771" s="2579" t="str">
        <f t="shared" si="140"/>
        <v/>
      </c>
      <c r="FE771" s="2579" t="str">
        <f t="shared" si="141"/>
        <v/>
      </c>
      <c r="FF771" s="2579" t="str">
        <f t="shared" si="142"/>
        <v/>
      </c>
      <c r="FG771" s="2579" t="str">
        <f t="shared" si="143"/>
        <v/>
      </c>
      <c r="FH771" s="2579" t="str">
        <f t="shared" si="144"/>
        <v/>
      </c>
      <c r="FI771" s="2579" t="str">
        <f t="shared" si="145"/>
        <v/>
      </c>
      <c r="FJ771" s="2579" t="str">
        <f t="shared" si="146"/>
        <v/>
      </c>
      <c r="FK771" s="2579" t="str">
        <f t="shared" si="147"/>
        <v/>
      </c>
      <c r="FL771" s="2579" t="str">
        <f t="shared" si="148"/>
        <v/>
      </c>
      <c r="FM771" s="2579" t="str">
        <f t="shared" si="149"/>
        <v/>
      </c>
      <c r="FN771" s="2579" t="str">
        <f t="shared" si="150"/>
        <v/>
      </c>
      <c r="FO771" s="2579" t="str">
        <f t="shared" si="151"/>
        <v/>
      </c>
      <c r="FP771" s="2579" t="str">
        <f t="shared" si="152"/>
        <v/>
      </c>
      <c r="FQ771" s="2579" t="str">
        <f t="shared" si="153"/>
        <v/>
      </c>
      <c r="FR771" s="2579" t="str">
        <f t="shared" si="154"/>
        <v/>
      </c>
      <c r="FS771" s="2579" t="str">
        <f t="shared" si="155"/>
        <v/>
      </c>
      <c r="FT771" s="2579" t="str">
        <f t="shared" si="156"/>
        <v/>
      </c>
      <c r="FU771" s="2579" t="str">
        <f t="shared" si="157"/>
        <v/>
      </c>
      <c r="FV771" s="2579" t="str">
        <f t="shared" si="158"/>
        <v/>
      </c>
      <c r="FW771" s="2579" t="str">
        <f t="shared" si="159"/>
        <v/>
      </c>
      <c r="FX771" s="2579" t="str">
        <f t="shared" si="160"/>
        <v/>
      </c>
      <c r="FY771" s="2579" t="str">
        <f t="shared" si="161"/>
        <v/>
      </c>
      <c r="FZ771" s="2579" t="str">
        <f t="shared" si="162"/>
        <v/>
      </c>
      <c r="GA771" s="2579" t="str">
        <f t="shared" si="163"/>
        <v/>
      </c>
      <c r="GB771" s="2579" t="str">
        <f t="shared" si="164"/>
        <v/>
      </c>
      <c r="GC771" s="2579" t="str">
        <f t="shared" si="165"/>
        <v/>
      </c>
      <c r="GD771" s="2579" t="str">
        <f t="shared" si="166"/>
        <v/>
      </c>
      <c r="GE771" s="2579" t="str">
        <f t="shared" si="167"/>
        <v/>
      </c>
      <c r="GF771" s="2579" t="str">
        <f t="shared" si="168"/>
        <v/>
      </c>
      <c r="GG771" s="2579" t="str">
        <f t="shared" si="169"/>
        <v/>
      </c>
      <c r="GH771" s="2579" t="str">
        <f t="shared" si="170"/>
        <v/>
      </c>
      <c r="GI771" s="2579">
        <f t="shared" si="171"/>
        <v>4</v>
      </c>
      <c r="GJ771" s="2579" t="str">
        <f t="shared" si="172"/>
        <v/>
      </c>
      <c r="GK771" s="2579" t="str">
        <f t="shared" si="173"/>
        <v/>
      </c>
      <c r="GL771" s="2579" t="str">
        <f t="shared" si="174"/>
        <v/>
      </c>
      <c r="GM771" s="2579" t="str">
        <f t="shared" si="175"/>
        <v/>
      </c>
      <c r="GN771" s="2579" t="str">
        <f t="shared" si="176"/>
        <v/>
      </c>
      <c r="GO771" s="2579" t="str">
        <f t="shared" si="177"/>
        <v/>
      </c>
      <c r="GP771" s="2579" t="str">
        <f t="shared" si="178"/>
        <v/>
      </c>
      <c r="GQ771" s="2579" t="str">
        <f t="shared" si="179"/>
        <v/>
      </c>
      <c r="GR771" s="2579" t="str">
        <f t="shared" si="180"/>
        <v/>
      </c>
      <c r="GS771" s="2579" t="str">
        <f t="shared" si="181"/>
        <v/>
      </c>
      <c r="GT771" s="2579" t="str">
        <f t="shared" si="182"/>
        <v/>
      </c>
      <c r="GU771" s="2579" t="str">
        <f t="shared" si="183"/>
        <v/>
      </c>
      <c r="GV771" s="2579" t="str">
        <f t="shared" si="184"/>
        <v/>
      </c>
      <c r="GW771" s="2579" t="str">
        <f t="shared" si="185"/>
        <v/>
      </c>
      <c r="GX771" s="2579" t="str">
        <f t="shared" si="186"/>
        <v/>
      </c>
      <c r="GY771" s="2579" t="str">
        <f t="shared" si="187"/>
        <v/>
      </c>
      <c r="GZ771" s="2579" t="str">
        <f t="shared" si="188"/>
        <v/>
      </c>
      <c r="HA771" s="2579" t="str">
        <f t="shared" si="189"/>
        <v/>
      </c>
      <c r="HB771" s="2579" t="str">
        <f t="shared" si="190"/>
        <v/>
      </c>
      <c r="HC771" s="2579" t="str">
        <f t="shared" si="191"/>
        <v/>
      </c>
      <c r="HD771" s="2579" t="str">
        <f t="shared" si="192"/>
        <v/>
      </c>
      <c r="HE771" s="2579" t="str">
        <f t="shared" si="193"/>
        <v/>
      </c>
      <c r="HF771" s="2579" t="str">
        <f t="shared" si="194"/>
        <v/>
      </c>
      <c r="HG771" s="2579" t="str">
        <f t="shared" si="195"/>
        <v/>
      </c>
      <c r="HH771" s="2579" t="str">
        <f t="shared" si="196"/>
        <v/>
      </c>
      <c r="HI771" s="2579" t="str">
        <f t="shared" si="197"/>
        <v/>
      </c>
      <c r="HJ771" s="2579" t="str">
        <f t="shared" si="198"/>
        <v/>
      </c>
      <c r="HK771" s="2579" t="str">
        <f t="shared" si="199"/>
        <v/>
      </c>
      <c r="HL771" s="2579" t="str">
        <f t="shared" si="200"/>
        <v/>
      </c>
      <c r="HM771" s="2579" t="str">
        <f t="shared" si="201"/>
        <v/>
      </c>
      <c r="HN771" s="2579" t="str">
        <f t="shared" si="202"/>
        <v/>
      </c>
      <c r="HO771" s="2579" t="str">
        <f t="shared" si="203"/>
        <v/>
      </c>
      <c r="HP771" s="2579" t="str">
        <f t="shared" si="204"/>
        <v/>
      </c>
      <c r="HQ771" s="2579" t="str">
        <f t="shared" si="205"/>
        <v/>
      </c>
      <c r="HR771" s="2579" t="str">
        <f t="shared" si="206"/>
        <v/>
      </c>
      <c r="HS771" s="2579" t="str">
        <f t="shared" si="207"/>
        <v/>
      </c>
      <c r="HT771" s="2579" t="str">
        <f t="shared" si="208"/>
        <v/>
      </c>
      <c r="HU771" s="2579" t="str">
        <f t="shared" si="209"/>
        <v/>
      </c>
      <c r="HV771" s="2579" t="str">
        <f t="shared" si="210"/>
        <v/>
      </c>
      <c r="HW771" s="2579" t="str">
        <f t="shared" si="211"/>
        <v/>
      </c>
      <c r="HX771" s="2579" t="str">
        <f t="shared" si="212"/>
        <v/>
      </c>
      <c r="HY771" s="2579" t="str">
        <f t="shared" si="213"/>
        <v/>
      </c>
      <c r="HZ771" s="2579" t="str">
        <f t="shared" si="214"/>
        <v/>
      </c>
      <c r="IA771" s="2579" t="str">
        <f t="shared" si="215"/>
        <v/>
      </c>
      <c r="IB771" s="2579" t="str">
        <f t="shared" si="216"/>
        <v/>
      </c>
      <c r="IC771" s="2579" t="str">
        <f t="shared" si="217"/>
        <v/>
      </c>
      <c r="ID771" s="2551" t="str">
        <f t="shared" si="218"/>
        <v/>
      </c>
      <c r="IE771" s="2551" t="str">
        <f t="shared" si="219"/>
        <v/>
      </c>
      <c r="IF771" s="2551" t="str">
        <f t="shared" si="220"/>
        <v/>
      </c>
      <c r="IG771" s="2551" t="str">
        <f t="shared" si="221"/>
        <v/>
      </c>
      <c r="IH771" s="2551"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2549">
        <f t="shared" si="243"/>
        <v>0</v>
      </c>
      <c r="JD771" s="2549">
        <f t="shared" si="244"/>
        <v>0</v>
      </c>
      <c r="JE771" s="2549">
        <f t="shared" si="245"/>
        <v>0</v>
      </c>
      <c r="JF771" s="2549">
        <f t="shared" si="246"/>
        <v>0</v>
      </c>
      <c r="JG771" s="2549">
        <f t="shared" si="247"/>
        <v>0</v>
      </c>
      <c r="JH771" s="2549">
        <f t="shared" si="248"/>
        <v>0</v>
      </c>
      <c r="JI771" s="2549">
        <f t="shared" si="249"/>
        <v>0</v>
      </c>
      <c r="JJ771" s="2549">
        <f t="shared" si="250"/>
        <v>0</v>
      </c>
      <c r="JK771" s="2549">
        <f t="shared" si="251"/>
        <v>4</v>
      </c>
      <c r="JL771" s="2549">
        <f t="shared" si="252"/>
        <v>0</v>
      </c>
      <c r="JM771" s="2549">
        <f t="shared" si="253"/>
        <v>0</v>
      </c>
      <c r="JN771" s="2549">
        <f t="shared" si="254"/>
        <v>0</v>
      </c>
      <c r="JO771" s="2549">
        <f t="shared" si="255"/>
        <v>0</v>
      </c>
      <c r="JP771" s="2549">
        <f t="shared" si="256"/>
        <v>0</v>
      </c>
      <c r="JQ771" s="2549">
        <f t="shared" si="257"/>
        <v>0</v>
      </c>
    </row>
    <row r="772" spans="1:277" ht="12" customHeight="1">
      <c r="A772" s="2562" t="str">
        <f t="shared" si="0"/>
        <v/>
      </c>
      <c r="B772" s="2571" t="str">
        <f>'Part VI-Revenues &amp; Expenses'!B15</f>
        <v>60% AMI</v>
      </c>
      <c r="C772" s="2572">
        <f>'Part VI-Revenues &amp; Expenses'!C15</f>
        <v>3</v>
      </c>
      <c r="D772" s="2573">
        <f>'Part VI-Revenues &amp; Expenses'!D15</f>
        <v>2</v>
      </c>
      <c r="E772" s="2574">
        <f>'Part VI-Revenues &amp; Expenses'!E15</f>
        <v>16</v>
      </c>
      <c r="F772" s="2574">
        <f>'Part VI-Revenues &amp; Expenses'!F15</f>
        <v>1250</v>
      </c>
      <c r="G772" s="2574">
        <f>'Part VI-Revenues &amp; Expenses'!G15</f>
        <v>726</v>
      </c>
      <c r="H772" s="2574">
        <f>'Part VI-Revenues &amp; Expenses'!H15</f>
        <v>721</v>
      </c>
      <c r="I772" s="2574">
        <f>'Part VI-Revenues &amp; Expenses'!I15</f>
        <v>148</v>
      </c>
      <c r="J772" s="2575">
        <f>'Part VI-Revenues &amp; Expenses'!J15</f>
        <v>0</v>
      </c>
      <c r="K772" s="2576">
        <f t="shared" si="1"/>
        <v>573</v>
      </c>
      <c r="L772" s="2576">
        <f t="shared" si="2"/>
        <v>9168</v>
      </c>
      <c r="M772" s="2450" t="str">
        <f>'Part VI-Revenues &amp; Expenses'!M15</f>
        <v>No</v>
      </c>
      <c r="N772" s="2450" t="str">
        <f>'Part VI-Revenues &amp; Expenses'!N15</f>
        <v>Townhome</v>
      </c>
      <c r="O772" s="2450" t="str">
        <f>'Part VI-Revenues &amp; Expenses'!O15</f>
        <v>New Construction</v>
      </c>
      <c r="P772" s="2556" t="str">
        <f>'Part VI-Revenues &amp; Expenses'!P15</f>
        <v>No</v>
      </c>
      <c r="Q772" s="2577">
        <f>'Part VI-Revenues &amp; Expenses'!Q15</f>
        <v>28840</v>
      </c>
      <c r="R772" s="2578">
        <f>'Part VI-Revenues &amp; Expenses'!R15</f>
        <v>0.7038266302225693</v>
      </c>
      <c r="S772" s="2577">
        <f>'Part VI-Revenues &amp; Expenses'!S15</f>
        <v>0</v>
      </c>
      <c r="T772" s="2578">
        <f>'Part VI-Revenues &amp; Expenses'!T15</f>
        <v>0</v>
      </c>
      <c r="U772" s="2500"/>
      <c r="V772" s="2500"/>
      <c r="W772" s="683" t="str">
        <f t="shared" si="3"/>
        <v/>
      </c>
      <c r="X772" s="683" t="str">
        <f t="shared" si="4"/>
        <v/>
      </c>
      <c r="Y772" s="683" t="str">
        <f t="shared" si="5"/>
        <v/>
      </c>
      <c r="Z772" s="683">
        <f t="shared" si="6"/>
        <v>16</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t="str">
        <f t="shared" si="20"/>
        <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t="str">
        <f t="shared" si="59"/>
        <v/>
      </c>
      <c r="CB772" s="683" t="str">
        <f t="shared" si="60"/>
        <v/>
      </c>
      <c r="CC772" s="683">
        <f t="shared" si="61"/>
        <v>20000</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t="str">
        <f t="shared" si="75"/>
        <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f t="shared" si="91"/>
        <v>16</v>
      </c>
      <c r="DH772" s="683" t="str">
        <f t="shared" si="92"/>
        <v/>
      </c>
      <c r="DI772" s="683" t="str">
        <f t="shared" si="93"/>
        <v/>
      </c>
      <c r="DJ772" s="683" t="str">
        <f t="shared" si="94"/>
        <v/>
      </c>
      <c r="DK772" s="683" t="str">
        <f t="shared" si="95"/>
        <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t="str">
        <f t="shared" si="119"/>
        <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2579" t="str">
        <f t="shared" si="133"/>
        <v/>
      </c>
      <c r="EX772" s="2579" t="str">
        <f t="shared" si="134"/>
        <v/>
      </c>
      <c r="EY772" s="2579" t="str">
        <f t="shared" si="135"/>
        <v/>
      </c>
      <c r="EZ772" s="2579" t="str">
        <f t="shared" si="136"/>
        <v/>
      </c>
      <c r="FA772" s="2579" t="str">
        <f t="shared" si="137"/>
        <v/>
      </c>
      <c r="FB772" s="2579" t="str">
        <f t="shared" si="138"/>
        <v/>
      </c>
      <c r="FC772" s="2579" t="str">
        <f t="shared" si="139"/>
        <v/>
      </c>
      <c r="FD772" s="2579" t="str">
        <f t="shared" si="140"/>
        <v/>
      </c>
      <c r="FE772" s="2579" t="str">
        <f t="shared" si="141"/>
        <v/>
      </c>
      <c r="FF772" s="2579" t="str">
        <f t="shared" si="142"/>
        <v/>
      </c>
      <c r="FG772" s="2579" t="str">
        <f t="shared" si="143"/>
        <v/>
      </c>
      <c r="FH772" s="2579" t="str">
        <f t="shared" si="144"/>
        <v/>
      </c>
      <c r="FI772" s="2579" t="str">
        <f t="shared" si="145"/>
        <v/>
      </c>
      <c r="FJ772" s="2579" t="str">
        <f t="shared" si="146"/>
        <v/>
      </c>
      <c r="FK772" s="2579" t="str">
        <f t="shared" si="147"/>
        <v/>
      </c>
      <c r="FL772" s="2579" t="str">
        <f t="shared" si="148"/>
        <v/>
      </c>
      <c r="FM772" s="2579" t="str">
        <f t="shared" si="149"/>
        <v/>
      </c>
      <c r="FN772" s="2579" t="str">
        <f t="shared" si="150"/>
        <v/>
      </c>
      <c r="FO772" s="2579" t="str">
        <f t="shared" si="151"/>
        <v/>
      </c>
      <c r="FP772" s="2579" t="str">
        <f t="shared" si="152"/>
        <v/>
      </c>
      <c r="FQ772" s="2579" t="str">
        <f t="shared" si="153"/>
        <v/>
      </c>
      <c r="FR772" s="2579" t="str">
        <f t="shared" si="154"/>
        <v/>
      </c>
      <c r="FS772" s="2579" t="str">
        <f t="shared" si="155"/>
        <v/>
      </c>
      <c r="FT772" s="2579" t="str">
        <f t="shared" si="156"/>
        <v/>
      </c>
      <c r="FU772" s="2579" t="str">
        <f t="shared" si="157"/>
        <v/>
      </c>
      <c r="FV772" s="2579" t="str">
        <f t="shared" si="158"/>
        <v/>
      </c>
      <c r="FW772" s="2579" t="str">
        <f t="shared" si="159"/>
        <v/>
      </c>
      <c r="FX772" s="2579" t="str">
        <f t="shared" si="160"/>
        <v/>
      </c>
      <c r="FY772" s="2579" t="str">
        <f t="shared" si="161"/>
        <v/>
      </c>
      <c r="FZ772" s="2579" t="str">
        <f t="shared" si="162"/>
        <v/>
      </c>
      <c r="GA772" s="2579" t="str">
        <f t="shared" si="163"/>
        <v/>
      </c>
      <c r="GB772" s="2579" t="str">
        <f t="shared" si="164"/>
        <v/>
      </c>
      <c r="GC772" s="2579" t="str">
        <f t="shared" si="165"/>
        <v/>
      </c>
      <c r="GD772" s="2579" t="str">
        <f t="shared" si="166"/>
        <v/>
      </c>
      <c r="GE772" s="2579" t="str">
        <f t="shared" si="167"/>
        <v/>
      </c>
      <c r="GF772" s="2579" t="str">
        <f t="shared" si="168"/>
        <v/>
      </c>
      <c r="GG772" s="2579" t="str">
        <f t="shared" si="169"/>
        <v/>
      </c>
      <c r="GH772" s="2579" t="str">
        <f t="shared" si="170"/>
        <v/>
      </c>
      <c r="GI772" s="2579">
        <f t="shared" si="171"/>
        <v>16</v>
      </c>
      <c r="GJ772" s="2579" t="str">
        <f t="shared" si="172"/>
        <v/>
      </c>
      <c r="GK772" s="2579" t="str">
        <f t="shared" si="173"/>
        <v/>
      </c>
      <c r="GL772" s="2579" t="str">
        <f t="shared" si="174"/>
        <v/>
      </c>
      <c r="GM772" s="2579" t="str">
        <f t="shared" si="175"/>
        <v/>
      </c>
      <c r="GN772" s="2579" t="str">
        <f t="shared" si="176"/>
        <v/>
      </c>
      <c r="GO772" s="2579" t="str">
        <f t="shared" si="177"/>
        <v/>
      </c>
      <c r="GP772" s="2579" t="str">
        <f t="shared" si="178"/>
        <v/>
      </c>
      <c r="GQ772" s="2579" t="str">
        <f t="shared" si="179"/>
        <v/>
      </c>
      <c r="GR772" s="2579" t="str">
        <f t="shared" si="180"/>
        <v/>
      </c>
      <c r="GS772" s="2579" t="str">
        <f t="shared" si="181"/>
        <v/>
      </c>
      <c r="GT772" s="2579" t="str">
        <f t="shared" si="182"/>
        <v/>
      </c>
      <c r="GU772" s="2579" t="str">
        <f t="shared" si="183"/>
        <v/>
      </c>
      <c r="GV772" s="2579" t="str">
        <f t="shared" si="184"/>
        <v/>
      </c>
      <c r="GW772" s="2579" t="str">
        <f t="shared" si="185"/>
        <v/>
      </c>
      <c r="GX772" s="2579" t="str">
        <f t="shared" si="186"/>
        <v/>
      </c>
      <c r="GY772" s="2579" t="str">
        <f t="shared" si="187"/>
        <v/>
      </c>
      <c r="GZ772" s="2579" t="str">
        <f t="shared" si="188"/>
        <v/>
      </c>
      <c r="HA772" s="2579" t="str">
        <f t="shared" si="189"/>
        <v/>
      </c>
      <c r="HB772" s="2579" t="str">
        <f t="shared" si="190"/>
        <v/>
      </c>
      <c r="HC772" s="2579" t="str">
        <f t="shared" si="191"/>
        <v/>
      </c>
      <c r="HD772" s="2579" t="str">
        <f t="shared" si="192"/>
        <v/>
      </c>
      <c r="HE772" s="2579" t="str">
        <f t="shared" si="193"/>
        <v/>
      </c>
      <c r="HF772" s="2579" t="str">
        <f t="shared" si="194"/>
        <v/>
      </c>
      <c r="HG772" s="2579" t="str">
        <f t="shared" si="195"/>
        <v/>
      </c>
      <c r="HH772" s="2579" t="str">
        <f t="shared" si="196"/>
        <v/>
      </c>
      <c r="HI772" s="2579" t="str">
        <f t="shared" si="197"/>
        <v/>
      </c>
      <c r="HJ772" s="2579" t="str">
        <f t="shared" si="198"/>
        <v/>
      </c>
      <c r="HK772" s="2579" t="str">
        <f t="shared" si="199"/>
        <v/>
      </c>
      <c r="HL772" s="2579" t="str">
        <f t="shared" si="200"/>
        <v/>
      </c>
      <c r="HM772" s="2579" t="str">
        <f t="shared" si="201"/>
        <v/>
      </c>
      <c r="HN772" s="2579" t="str">
        <f t="shared" si="202"/>
        <v/>
      </c>
      <c r="HO772" s="2579" t="str">
        <f t="shared" si="203"/>
        <v/>
      </c>
      <c r="HP772" s="2579" t="str">
        <f t="shared" si="204"/>
        <v/>
      </c>
      <c r="HQ772" s="2579" t="str">
        <f t="shared" si="205"/>
        <v/>
      </c>
      <c r="HR772" s="2579" t="str">
        <f t="shared" si="206"/>
        <v/>
      </c>
      <c r="HS772" s="2579" t="str">
        <f t="shared" si="207"/>
        <v/>
      </c>
      <c r="HT772" s="2579" t="str">
        <f t="shared" si="208"/>
        <v/>
      </c>
      <c r="HU772" s="2579" t="str">
        <f t="shared" si="209"/>
        <v/>
      </c>
      <c r="HV772" s="2579" t="str">
        <f t="shared" si="210"/>
        <v/>
      </c>
      <c r="HW772" s="2579" t="str">
        <f t="shared" si="211"/>
        <v/>
      </c>
      <c r="HX772" s="2579" t="str">
        <f t="shared" si="212"/>
        <v/>
      </c>
      <c r="HY772" s="2579" t="str">
        <f t="shared" si="213"/>
        <v/>
      </c>
      <c r="HZ772" s="2579" t="str">
        <f t="shared" si="214"/>
        <v/>
      </c>
      <c r="IA772" s="2579" t="str">
        <f t="shared" si="215"/>
        <v/>
      </c>
      <c r="IB772" s="2579" t="str">
        <f t="shared" si="216"/>
        <v/>
      </c>
      <c r="IC772" s="2579" t="str">
        <f t="shared" si="217"/>
        <v/>
      </c>
      <c r="ID772" s="2551" t="str">
        <f t="shared" si="218"/>
        <v/>
      </c>
      <c r="IE772" s="2551" t="str">
        <f t="shared" si="219"/>
        <v/>
      </c>
      <c r="IF772" s="2551" t="str">
        <f t="shared" si="220"/>
        <v/>
      </c>
      <c r="IG772" s="2551" t="str">
        <f t="shared" si="221"/>
        <v/>
      </c>
      <c r="IH772" s="2551"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2549">
        <f t="shared" si="243"/>
        <v>0</v>
      </c>
      <c r="JD772" s="2549">
        <f t="shared" si="244"/>
        <v>0</v>
      </c>
      <c r="JE772" s="2549">
        <f t="shared" si="245"/>
        <v>0</v>
      </c>
      <c r="JF772" s="2549">
        <f t="shared" si="246"/>
        <v>0</v>
      </c>
      <c r="JG772" s="2549">
        <f t="shared" si="247"/>
        <v>0</v>
      </c>
      <c r="JH772" s="2549">
        <f t="shared" si="248"/>
        <v>0</v>
      </c>
      <c r="JI772" s="2549">
        <f t="shared" si="249"/>
        <v>0</v>
      </c>
      <c r="JJ772" s="2549">
        <f t="shared" si="250"/>
        <v>0</v>
      </c>
      <c r="JK772" s="2549">
        <f t="shared" si="251"/>
        <v>16</v>
      </c>
      <c r="JL772" s="2549">
        <f t="shared" si="252"/>
        <v>0</v>
      </c>
      <c r="JM772" s="2549">
        <f t="shared" si="253"/>
        <v>0</v>
      </c>
      <c r="JN772" s="2549">
        <f t="shared" si="254"/>
        <v>0</v>
      </c>
      <c r="JO772" s="2549">
        <f t="shared" si="255"/>
        <v>0</v>
      </c>
      <c r="JP772" s="2549">
        <f t="shared" si="256"/>
        <v>0</v>
      </c>
      <c r="JQ772" s="2549">
        <f t="shared" si="257"/>
        <v>0</v>
      </c>
    </row>
    <row r="773" spans="1:277" ht="12" customHeight="1">
      <c r="A773" s="2562" t="str">
        <f t="shared" si="0"/>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1"/>
        <v>0</v>
      </c>
      <c r="L773" s="2576">
        <f t="shared" si="2"/>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t="str">
        <f t="shared" si="19"/>
        <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t="str">
        <f t="shared" si="74"/>
        <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t="str">
        <f t="shared" si="94"/>
        <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2579" t="str">
        <f t="shared" si="133"/>
        <v/>
      </c>
      <c r="EX773" s="2579" t="str">
        <f t="shared" si="134"/>
        <v/>
      </c>
      <c r="EY773" s="2579" t="str">
        <f t="shared" si="135"/>
        <v/>
      </c>
      <c r="EZ773" s="2579" t="str">
        <f t="shared" si="136"/>
        <v/>
      </c>
      <c r="FA773" s="2579" t="str">
        <f t="shared" si="137"/>
        <v/>
      </c>
      <c r="FB773" s="2579" t="str">
        <f t="shared" si="138"/>
        <v/>
      </c>
      <c r="FC773" s="2579" t="str">
        <f t="shared" si="139"/>
        <v/>
      </c>
      <c r="FD773" s="2579" t="str">
        <f t="shared" si="140"/>
        <v/>
      </c>
      <c r="FE773" s="2579" t="str">
        <f t="shared" si="141"/>
        <v/>
      </c>
      <c r="FF773" s="2579" t="str">
        <f t="shared" si="142"/>
        <v/>
      </c>
      <c r="FG773" s="2579" t="str">
        <f t="shared" si="143"/>
        <v/>
      </c>
      <c r="FH773" s="2579" t="str">
        <f t="shared" si="144"/>
        <v/>
      </c>
      <c r="FI773" s="2579" t="str">
        <f t="shared" si="145"/>
        <v/>
      </c>
      <c r="FJ773" s="2579" t="str">
        <f t="shared" si="146"/>
        <v/>
      </c>
      <c r="FK773" s="2579" t="str">
        <f t="shared" si="147"/>
        <v/>
      </c>
      <c r="FL773" s="2579" t="str">
        <f t="shared" si="148"/>
        <v/>
      </c>
      <c r="FM773" s="2579" t="str">
        <f t="shared" si="149"/>
        <v/>
      </c>
      <c r="FN773" s="2579" t="str">
        <f t="shared" si="150"/>
        <v/>
      </c>
      <c r="FO773" s="2579" t="str">
        <f t="shared" si="151"/>
        <v/>
      </c>
      <c r="FP773" s="2579" t="str">
        <f t="shared" si="152"/>
        <v/>
      </c>
      <c r="FQ773" s="2579" t="str">
        <f t="shared" si="153"/>
        <v/>
      </c>
      <c r="FR773" s="2579" t="str">
        <f t="shared" si="154"/>
        <v/>
      </c>
      <c r="FS773" s="2579" t="str">
        <f t="shared" si="155"/>
        <v/>
      </c>
      <c r="FT773" s="2579" t="str">
        <f t="shared" si="156"/>
        <v/>
      </c>
      <c r="FU773" s="2579" t="str">
        <f t="shared" si="157"/>
        <v/>
      </c>
      <c r="FV773" s="2579" t="str">
        <f t="shared" si="158"/>
        <v/>
      </c>
      <c r="FW773" s="2579" t="str">
        <f t="shared" si="159"/>
        <v/>
      </c>
      <c r="FX773" s="2579" t="str">
        <f t="shared" si="160"/>
        <v/>
      </c>
      <c r="FY773" s="2579" t="str">
        <f t="shared" si="161"/>
        <v/>
      </c>
      <c r="FZ773" s="2579" t="str">
        <f t="shared" si="162"/>
        <v/>
      </c>
      <c r="GA773" s="2579" t="str">
        <f t="shared" si="163"/>
        <v/>
      </c>
      <c r="GB773" s="2579" t="str">
        <f t="shared" si="164"/>
        <v/>
      </c>
      <c r="GC773" s="2579" t="str">
        <f t="shared" si="165"/>
        <v/>
      </c>
      <c r="GD773" s="2579" t="str">
        <f t="shared" si="166"/>
        <v/>
      </c>
      <c r="GE773" s="2579" t="str">
        <f t="shared" si="167"/>
        <v/>
      </c>
      <c r="GF773" s="2579" t="str">
        <f t="shared" si="168"/>
        <v/>
      </c>
      <c r="GG773" s="2579" t="str">
        <f t="shared" si="169"/>
        <v/>
      </c>
      <c r="GH773" s="2579" t="str">
        <f t="shared" si="170"/>
        <v/>
      </c>
      <c r="GI773" s="2579" t="str">
        <f t="shared" si="171"/>
        <v/>
      </c>
      <c r="GJ773" s="2579" t="str">
        <f t="shared" si="172"/>
        <v/>
      </c>
      <c r="GK773" s="2579" t="str">
        <f t="shared" si="173"/>
        <v/>
      </c>
      <c r="GL773" s="2579" t="str">
        <f t="shared" si="174"/>
        <v/>
      </c>
      <c r="GM773" s="2579" t="str">
        <f t="shared" si="175"/>
        <v/>
      </c>
      <c r="GN773" s="2579" t="str">
        <f t="shared" si="176"/>
        <v/>
      </c>
      <c r="GO773" s="2579" t="str">
        <f t="shared" si="177"/>
        <v/>
      </c>
      <c r="GP773" s="2579" t="str">
        <f t="shared" si="178"/>
        <v/>
      </c>
      <c r="GQ773" s="2579" t="str">
        <f t="shared" si="179"/>
        <v/>
      </c>
      <c r="GR773" s="2579" t="str">
        <f t="shared" si="180"/>
        <v/>
      </c>
      <c r="GS773" s="2579" t="str">
        <f t="shared" si="181"/>
        <v/>
      </c>
      <c r="GT773" s="2579" t="str">
        <f t="shared" si="182"/>
        <v/>
      </c>
      <c r="GU773" s="2579" t="str">
        <f t="shared" si="183"/>
        <v/>
      </c>
      <c r="GV773" s="2579" t="str">
        <f t="shared" si="184"/>
        <v/>
      </c>
      <c r="GW773" s="2579" t="str">
        <f t="shared" si="185"/>
        <v/>
      </c>
      <c r="GX773" s="2579" t="str">
        <f t="shared" si="186"/>
        <v/>
      </c>
      <c r="GY773" s="2579" t="str">
        <f t="shared" si="187"/>
        <v/>
      </c>
      <c r="GZ773" s="2579" t="str">
        <f t="shared" si="188"/>
        <v/>
      </c>
      <c r="HA773" s="2579" t="str">
        <f t="shared" si="189"/>
        <v/>
      </c>
      <c r="HB773" s="2579" t="str">
        <f t="shared" si="190"/>
        <v/>
      </c>
      <c r="HC773" s="2579" t="str">
        <f t="shared" si="191"/>
        <v/>
      </c>
      <c r="HD773" s="2579" t="str">
        <f t="shared" si="192"/>
        <v/>
      </c>
      <c r="HE773" s="2579" t="str">
        <f t="shared" si="193"/>
        <v/>
      </c>
      <c r="HF773" s="2579" t="str">
        <f t="shared" si="194"/>
        <v/>
      </c>
      <c r="HG773" s="2579" t="str">
        <f t="shared" si="195"/>
        <v/>
      </c>
      <c r="HH773" s="2579" t="str">
        <f t="shared" si="196"/>
        <v/>
      </c>
      <c r="HI773" s="2579" t="str">
        <f t="shared" si="197"/>
        <v/>
      </c>
      <c r="HJ773" s="2579" t="str">
        <f t="shared" si="198"/>
        <v/>
      </c>
      <c r="HK773" s="2579" t="str">
        <f t="shared" si="199"/>
        <v/>
      </c>
      <c r="HL773" s="2579" t="str">
        <f t="shared" si="200"/>
        <v/>
      </c>
      <c r="HM773" s="2579" t="str">
        <f t="shared" si="201"/>
        <v/>
      </c>
      <c r="HN773" s="2579" t="str">
        <f t="shared" si="202"/>
        <v/>
      </c>
      <c r="HO773" s="2579" t="str">
        <f t="shared" si="203"/>
        <v/>
      </c>
      <c r="HP773" s="2579" t="str">
        <f t="shared" si="204"/>
        <v/>
      </c>
      <c r="HQ773" s="2579" t="str">
        <f t="shared" si="205"/>
        <v/>
      </c>
      <c r="HR773" s="2579" t="str">
        <f t="shared" si="206"/>
        <v/>
      </c>
      <c r="HS773" s="2579" t="str">
        <f t="shared" si="207"/>
        <v/>
      </c>
      <c r="HT773" s="2579" t="str">
        <f t="shared" si="208"/>
        <v/>
      </c>
      <c r="HU773" s="2579" t="str">
        <f t="shared" si="209"/>
        <v/>
      </c>
      <c r="HV773" s="2579" t="str">
        <f t="shared" si="210"/>
        <v/>
      </c>
      <c r="HW773" s="2579" t="str">
        <f t="shared" si="211"/>
        <v/>
      </c>
      <c r="HX773" s="2579" t="str">
        <f t="shared" si="212"/>
        <v/>
      </c>
      <c r="HY773" s="2579" t="str">
        <f t="shared" si="213"/>
        <v/>
      </c>
      <c r="HZ773" s="2579" t="str">
        <f t="shared" si="214"/>
        <v/>
      </c>
      <c r="IA773" s="2579" t="str">
        <f t="shared" si="215"/>
        <v/>
      </c>
      <c r="IB773" s="2579" t="str">
        <f t="shared" si="216"/>
        <v/>
      </c>
      <c r="IC773" s="2579" t="str">
        <f t="shared" si="217"/>
        <v/>
      </c>
      <c r="ID773" s="2551" t="str">
        <f t="shared" si="218"/>
        <v/>
      </c>
      <c r="IE773" s="2551" t="str">
        <f t="shared" si="219"/>
        <v/>
      </c>
      <c r="IF773" s="2551" t="str">
        <f t="shared" si="220"/>
        <v/>
      </c>
      <c r="IG773" s="2551" t="str">
        <f t="shared" si="221"/>
        <v/>
      </c>
      <c r="IH773" s="2551"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2549">
        <f t="shared" si="243"/>
        <v>0</v>
      </c>
      <c r="JD773" s="2549">
        <f t="shared" si="244"/>
        <v>0</v>
      </c>
      <c r="JE773" s="2549">
        <f t="shared" si="245"/>
        <v>0</v>
      </c>
      <c r="JF773" s="2549">
        <f t="shared" si="246"/>
        <v>0</v>
      </c>
      <c r="JG773" s="2549">
        <f t="shared" si="247"/>
        <v>0</v>
      </c>
      <c r="JH773" s="2549">
        <f t="shared" si="248"/>
        <v>0</v>
      </c>
      <c r="JI773" s="2549">
        <f t="shared" si="249"/>
        <v>0</v>
      </c>
      <c r="JJ773" s="2549">
        <f t="shared" si="250"/>
        <v>0</v>
      </c>
      <c r="JK773" s="2549">
        <f t="shared" si="251"/>
        <v>0</v>
      </c>
      <c r="JL773" s="2549">
        <f t="shared" si="252"/>
        <v>0</v>
      </c>
      <c r="JM773" s="2549">
        <f t="shared" si="253"/>
        <v>0</v>
      </c>
      <c r="JN773" s="2549">
        <f t="shared" si="254"/>
        <v>0</v>
      </c>
      <c r="JO773" s="2549">
        <f t="shared" si="255"/>
        <v>0</v>
      </c>
      <c r="JP773" s="2549">
        <f t="shared" si="256"/>
        <v>0</v>
      </c>
      <c r="JQ773" s="2549">
        <f t="shared" si="257"/>
        <v>0</v>
      </c>
    </row>
    <row r="774" spans="1:277" ht="12" customHeight="1">
      <c r="A774" s="2562" t="str">
        <f t="shared" si="0"/>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1"/>
        <v>0</v>
      </c>
      <c r="L774" s="2576">
        <f t="shared" si="2"/>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t="str">
        <f t="shared" si="20"/>
        <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t="str">
        <f t="shared" si="75"/>
        <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t="str">
        <f t="shared" si="95"/>
        <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2579" t="str">
        <f t="shared" si="133"/>
        <v/>
      </c>
      <c r="EX774" s="2579" t="str">
        <f t="shared" si="134"/>
        <v/>
      </c>
      <c r="EY774" s="2579" t="str">
        <f t="shared" si="135"/>
        <v/>
      </c>
      <c r="EZ774" s="2579" t="str">
        <f t="shared" si="136"/>
        <v/>
      </c>
      <c r="FA774" s="2579" t="str">
        <f t="shared" si="137"/>
        <v/>
      </c>
      <c r="FB774" s="2579" t="str">
        <f t="shared" si="138"/>
        <v/>
      </c>
      <c r="FC774" s="2579" t="str">
        <f t="shared" si="139"/>
        <v/>
      </c>
      <c r="FD774" s="2579" t="str">
        <f t="shared" si="140"/>
        <v/>
      </c>
      <c r="FE774" s="2579" t="str">
        <f t="shared" si="141"/>
        <v/>
      </c>
      <c r="FF774" s="2579" t="str">
        <f t="shared" si="142"/>
        <v/>
      </c>
      <c r="FG774" s="2579" t="str">
        <f t="shared" si="143"/>
        <v/>
      </c>
      <c r="FH774" s="2579" t="str">
        <f t="shared" si="144"/>
        <v/>
      </c>
      <c r="FI774" s="2579" t="str">
        <f t="shared" si="145"/>
        <v/>
      </c>
      <c r="FJ774" s="2579" t="str">
        <f t="shared" si="146"/>
        <v/>
      </c>
      <c r="FK774" s="2579" t="str">
        <f t="shared" si="147"/>
        <v/>
      </c>
      <c r="FL774" s="2579" t="str">
        <f t="shared" si="148"/>
        <v/>
      </c>
      <c r="FM774" s="2579" t="str">
        <f t="shared" si="149"/>
        <v/>
      </c>
      <c r="FN774" s="2579" t="str">
        <f t="shared" si="150"/>
        <v/>
      </c>
      <c r="FO774" s="2579" t="str">
        <f t="shared" si="151"/>
        <v/>
      </c>
      <c r="FP774" s="2579" t="str">
        <f t="shared" si="152"/>
        <v/>
      </c>
      <c r="FQ774" s="2579" t="str">
        <f t="shared" si="153"/>
        <v/>
      </c>
      <c r="FR774" s="2579" t="str">
        <f t="shared" si="154"/>
        <v/>
      </c>
      <c r="FS774" s="2579" t="str">
        <f t="shared" si="155"/>
        <v/>
      </c>
      <c r="FT774" s="2579" t="str">
        <f t="shared" si="156"/>
        <v/>
      </c>
      <c r="FU774" s="2579" t="str">
        <f t="shared" si="157"/>
        <v/>
      </c>
      <c r="FV774" s="2579" t="str">
        <f t="shared" si="158"/>
        <v/>
      </c>
      <c r="FW774" s="2579" t="str">
        <f t="shared" si="159"/>
        <v/>
      </c>
      <c r="FX774" s="2579" t="str">
        <f t="shared" si="160"/>
        <v/>
      </c>
      <c r="FY774" s="2579" t="str">
        <f t="shared" si="161"/>
        <v/>
      </c>
      <c r="FZ774" s="2579" t="str">
        <f t="shared" si="162"/>
        <v/>
      </c>
      <c r="GA774" s="2579" t="str">
        <f t="shared" si="163"/>
        <v/>
      </c>
      <c r="GB774" s="2579" t="str">
        <f t="shared" si="164"/>
        <v/>
      </c>
      <c r="GC774" s="2579" t="str">
        <f t="shared" si="165"/>
        <v/>
      </c>
      <c r="GD774" s="2579" t="str">
        <f t="shared" si="166"/>
        <v/>
      </c>
      <c r="GE774" s="2579" t="str">
        <f t="shared" si="167"/>
        <v/>
      </c>
      <c r="GF774" s="2579" t="str">
        <f t="shared" si="168"/>
        <v/>
      </c>
      <c r="GG774" s="2579" t="str">
        <f t="shared" si="169"/>
        <v/>
      </c>
      <c r="GH774" s="2579" t="str">
        <f t="shared" si="170"/>
        <v/>
      </c>
      <c r="GI774" s="2579" t="str">
        <f t="shared" si="171"/>
        <v/>
      </c>
      <c r="GJ774" s="2579" t="str">
        <f t="shared" si="172"/>
        <v/>
      </c>
      <c r="GK774" s="2579" t="str">
        <f t="shared" si="173"/>
        <v/>
      </c>
      <c r="GL774" s="2579" t="str">
        <f t="shared" si="174"/>
        <v/>
      </c>
      <c r="GM774" s="2579" t="str">
        <f t="shared" si="175"/>
        <v/>
      </c>
      <c r="GN774" s="2579" t="str">
        <f t="shared" si="176"/>
        <v/>
      </c>
      <c r="GO774" s="2579" t="str">
        <f t="shared" si="177"/>
        <v/>
      </c>
      <c r="GP774" s="2579" t="str">
        <f t="shared" si="178"/>
        <v/>
      </c>
      <c r="GQ774" s="2579" t="str">
        <f t="shared" si="179"/>
        <v/>
      </c>
      <c r="GR774" s="2579" t="str">
        <f t="shared" si="180"/>
        <v/>
      </c>
      <c r="GS774" s="2579" t="str">
        <f t="shared" si="181"/>
        <v/>
      </c>
      <c r="GT774" s="2579" t="str">
        <f t="shared" si="182"/>
        <v/>
      </c>
      <c r="GU774" s="2579" t="str">
        <f t="shared" si="183"/>
        <v/>
      </c>
      <c r="GV774" s="2579" t="str">
        <f t="shared" si="184"/>
        <v/>
      </c>
      <c r="GW774" s="2579" t="str">
        <f t="shared" si="185"/>
        <v/>
      </c>
      <c r="GX774" s="2579" t="str">
        <f t="shared" si="186"/>
        <v/>
      </c>
      <c r="GY774" s="2579" t="str">
        <f t="shared" si="187"/>
        <v/>
      </c>
      <c r="GZ774" s="2579" t="str">
        <f t="shared" si="188"/>
        <v/>
      </c>
      <c r="HA774" s="2579" t="str">
        <f t="shared" si="189"/>
        <v/>
      </c>
      <c r="HB774" s="2579" t="str">
        <f t="shared" si="190"/>
        <v/>
      </c>
      <c r="HC774" s="2579" t="str">
        <f t="shared" si="191"/>
        <v/>
      </c>
      <c r="HD774" s="2579" t="str">
        <f t="shared" si="192"/>
        <v/>
      </c>
      <c r="HE774" s="2579" t="str">
        <f t="shared" si="193"/>
        <v/>
      </c>
      <c r="HF774" s="2579" t="str">
        <f t="shared" si="194"/>
        <v/>
      </c>
      <c r="HG774" s="2579" t="str">
        <f t="shared" si="195"/>
        <v/>
      </c>
      <c r="HH774" s="2579" t="str">
        <f t="shared" si="196"/>
        <v/>
      </c>
      <c r="HI774" s="2579" t="str">
        <f t="shared" si="197"/>
        <v/>
      </c>
      <c r="HJ774" s="2579" t="str">
        <f t="shared" si="198"/>
        <v/>
      </c>
      <c r="HK774" s="2579" t="str">
        <f t="shared" si="199"/>
        <v/>
      </c>
      <c r="HL774" s="2579" t="str">
        <f t="shared" si="200"/>
        <v/>
      </c>
      <c r="HM774" s="2579" t="str">
        <f t="shared" si="201"/>
        <v/>
      </c>
      <c r="HN774" s="2579" t="str">
        <f t="shared" si="202"/>
        <v/>
      </c>
      <c r="HO774" s="2579" t="str">
        <f t="shared" si="203"/>
        <v/>
      </c>
      <c r="HP774" s="2579" t="str">
        <f t="shared" si="204"/>
        <v/>
      </c>
      <c r="HQ774" s="2579" t="str">
        <f t="shared" si="205"/>
        <v/>
      </c>
      <c r="HR774" s="2579" t="str">
        <f t="shared" si="206"/>
        <v/>
      </c>
      <c r="HS774" s="2579" t="str">
        <f t="shared" si="207"/>
        <v/>
      </c>
      <c r="HT774" s="2579" t="str">
        <f t="shared" si="208"/>
        <v/>
      </c>
      <c r="HU774" s="2579" t="str">
        <f t="shared" si="209"/>
        <v/>
      </c>
      <c r="HV774" s="2579" t="str">
        <f t="shared" si="210"/>
        <v/>
      </c>
      <c r="HW774" s="2579" t="str">
        <f t="shared" si="211"/>
        <v/>
      </c>
      <c r="HX774" s="2579" t="str">
        <f t="shared" si="212"/>
        <v/>
      </c>
      <c r="HY774" s="2579" t="str">
        <f t="shared" si="213"/>
        <v/>
      </c>
      <c r="HZ774" s="2579" t="str">
        <f t="shared" si="214"/>
        <v/>
      </c>
      <c r="IA774" s="2579" t="str">
        <f t="shared" si="215"/>
        <v/>
      </c>
      <c r="IB774" s="2579" t="str">
        <f t="shared" si="216"/>
        <v/>
      </c>
      <c r="IC774" s="2579" t="str">
        <f t="shared" si="217"/>
        <v/>
      </c>
      <c r="ID774" s="2551" t="str">
        <f t="shared" si="218"/>
        <v/>
      </c>
      <c r="IE774" s="2551" t="str">
        <f t="shared" si="219"/>
        <v/>
      </c>
      <c r="IF774" s="2551" t="str">
        <f t="shared" si="220"/>
        <v/>
      </c>
      <c r="IG774" s="2551" t="str">
        <f t="shared" si="221"/>
        <v/>
      </c>
      <c r="IH774" s="2551"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2549">
        <f t="shared" si="243"/>
        <v>0</v>
      </c>
      <c r="JD774" s="2549">
        <f t="shared" si="244"/>
        <v>0</v>
      </c>
      <c r="JE774" s="2549">
        <f t="shared" si="245"/>
        <v>0</v>
      </c>
      <c r="JF774" s="2549">
        <f t="shared" si="246"/>
        <v>0</v>
      </c>
      <c r="JG774" s="2549">
        <f t="shared" si="247"/>
        <v>0</v>
      </c>
      <c r="JH774" s="2549">
        <f t="shared" si="248"/>
        <v>0</v>
      </c>
      <c r="JI774" s="2549">
        <f t="shared" si="249"/>
        <v>0</v>
      </c>
      <c r="JJ774" s="2549">
        <f t="shared" si="250"/>
        <v>0</v>
      </c>
      <c r="JK774" s="2549">
        <f t="shared" si="251"/>
        <v>0</v>
      </c>
      <c r="JL774" s="2549">
        <f t="shared" si="252"/>
        <v>0</v>
      </c>
      <c r="JM774" s="2549">
        <f t="shared" si="253"/>
        <v>0</v>
      </c>
      <c r="JN774" s="2549">
        <f t="shared" si="254"/>
        <v>0</v>
      </c>
      <c r="JO774" s="2549">
        <f t="shared" si="255"/>
        <v>0</v>
      </c>
      <c r="JP774" s="2549">
        <f t="shared" si="256"/>
        <v>0</v>
      </c>
      <c r="JQ774" s="2549">
        <f t="shared" si="257"/>
        <v>0</v>
      </c>
    </row>
    <row r="775" spans="1:277" ht="12" customHeight="1">
      <c r="A775" s="2562" t="str">
        <f t="shared" si="0"/>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1"/>
        <v>0</v>
      </c>
      <c r="L775" s="2576">
        <f t="shared" si="2"/>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t="str">
        <f t="shared" si="21"/>
        <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t="str">
        <f t="shared" si="76"/>
        <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t="str">
        <f t="shared" si="96"/>
        <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2579" t="str">
        <f t="shared" si="133"/>
        <v/>
      </c>
      <c r="EX775" s="2579" t="str">
        <f t="shared" si="134"/>
        <v/>
      </c>
      <c r="EY775" s="2579" t="str">
        <f t="shared" si="135"/>
        <v/>
      </c>
      <c r="EZ775" s="2579" t="str">
        <f t="shared" si="136"/>
        <v/>
      </c>
      <c r="FA775" s="2579" t="str">
        <f t="shared" si="137"/>
        <v/>
      </c>
      <c r="FB775" s="2579" t="str">
        <f t="shared" si="138"/>
        <v/>
      </c>
      <c r="FC775" s="2579" t="str">
        <f t="shared" si="139"/>
        <v/>
      </c>
      <c r="FD775" s="2579" t="str">
        <f t="shared" si="140"/>
        <v/>
      </c>
      <c r="FE775" s="2579" t="str">
        <f t="shared" si="141"/>
        <v/>
      </c>
      <c r="FF775" s="2579" t="str">
        <f t="shared" si="142"/>
        <v/>
      </c>
      <c r="FG775" s="2579" t="str">
        <f t="shared" si="143"/>
        <v/>
      </c>
      <c r="FH775" s="2579" t="str">
        <f t="shared" si="144"/>
        <v/>
      </c>
      <c r="FI775" s="2579" t="str">
        <f t="shared" si="145"/>
        <v/>
      </c>
      <c r="FJ775" s="2579" t="str">
        <f t="shared" si="146"/>
        <v/>
      </c>
      <c r="FK775" s="2579" t="str">
        <f t="shared" si="147"/>
        <v/>
      </c>
      <c r="FL775" s="2579" t="str">
        <f t="shared" si="148"/>
        <v/>
      </c>
      <c r="FM775" s="2579" t="str">
        <f t="shared" si="149"/>
        <v/>
      </c>
      <c r="FN775" s="2579" t="str">
        <f t="shared" si="150"/>
        <v/>
      </c>
      <c r="FO775" s="2579" t="str">
        <f t="shared" si="151"/>
        <v/>
      </c>
      <c r="FP775" s="2579" t="str">
        <f t="shared" si="152"/>
        <v/>
      </c>
      <c r="FQ775" s="2579" t="str">
        <f t="shared" si="153"/>
        <v/>
      </c>
      <c r="FR775" s="2579" t="str">
        <f t="shared" si="154"/>
        <v/>
      </c>
      <c r="FS775" s="2579" t="str">
        <f t="shared" si="155"/>
        <v/>
      </c>
      <c r="FT775" s="2579" t="str">
        <f t="shared" si="156"/>
        <v/>
      </c>
      <c r="FU775" s="2579" t="str">
        <f t="shared" si="157"/>
        <v/>
      </c>
      <c r="FV775" s="2579" t="str">
        <f t="shared" si="158"/>
        <v/>
      </c>
      <c r="FW775" s="2579" t="str">
        <f t="shared" si="159"/>
        <v/>
      </c>
      <c r="FX775" s="2579" t="str">
        <f t="shared" si="160"/>
        <v/>
      </c>
      <c r="FY775" s="2579" t="str">
        <f t="shared" si="161"/>
        <v/>
      </c>
      <c r="FZ775" s="2579" t="str">
        <f t="shared" si="162"/>
        <v/>
      </c>
      <c r="GA775" s="2579" t="str">
        <f t="shared" si="163"/>
        <v/>
      </c>
      <c r="GB775" s="2579" t="str">
        <f t="shared" si="164"/>
        <v/>
      </c>
      <c r="GC775" s="2579" t="str">
        <f t="shared" si="165"/>
        <v/>
      </c>
      <c r="GD775" s="2579" t="str">
        <f t="shared" si="166"/>
        <v/>
      </c>
      <c r="GE775" s="2579" t="str">
        <f t="shared" si="167"/>
        <v/>
      </c>
      <c r="GF775" s="2579" t="str">
        <f t="shared" si="168"/>
        <v/>
      </c>
      <c r="GG775" s="2579" t="str">
        <f t="shared" si="169"/>
        <v/>
      </c>
      <c r="GH775" s="2579" t="str">
        <f t="shared" si="170"/>
        <v/>
      </c>
      <c r="GI775" s="2579" t="str">
        <f t="shared" si="171"/>
        <v/>
      </c>
      <c r="GJ775" s="2579" t="str">
        <f t="shared" si="172"/>
        <v/>
      </c>
      <c r="GK775" s="2579" t="str">
        <f t="shared" si="173"/>
        <v/>
      </c>
      <c r="GL775" s="2579" t="str">
        <f t="shared" si="174"/>
        <v/>
      </c>
      <c r="GM775" s="2579" t="str">
        <f t="shared" si="175"/>
        <v/>
      </c>
      <c r="GN775" s="2579" t="str">
        <f t="shared" si="176"/>
        <v/>
      </c>
      <c r="GO775" s="2579" t="str">
        <f t="shared" si="177"/>
        <v/>
      </c>
      <c r="GP775" s="2579" t="str">
        <f t="shared" si="178"/>
        <v/>
      </c>
      <c r="GQ775" s="2579" t="str">
        <f t="shared" si="179"/>
        <v/>
      </c>
      <c r="GR775" s="2579" t="str">
        <f t="shared" si="180"/>
        <v/>
      </c>
      <c r="GS775" s="2579" t="str">
        <f t="shared" si="181"/>
        <v/>
      </c>
      <c r="GT775" s="2579" t="str">
        <f t="shared" si="182"/>
        <v/>
      </c>
      <c r="GU775" s="2579" t="str">
        <f t="shared" si="183"/>
        <v/>
      </c>
      <c r="GV775" s="2579" t="str">
        <f t="shared" si="184"/>
        <v/>
      </c>
      <c r="GW775" s="2579" t="str">
        <f t="shared" si="185"/>
        <v/>
      </c>
      <c r="GX775" s="2579" t="str">
        <f t="shared" si="186"/>
        <v/>
      </c>
      <c r="GY775" s="2579" t="str">
        <f t="shared" si="187"/>
        <v/>
      </c>
      <c r="GZ775" s="2579" t="str">
        <f t="shared" si="188"/>
        <v/>
      </c>
      <c r="HA775" s="2579" t="str">
        <f t="shared" si="189"/>
        <v/>
      </c>
      <c r="HB775" s="2579" t="str">
        <f t="shared" si="190"/>
        <v/>
      </c>
      <c r="HC775" s="2579" t="str">
        <f t="shared" si="191"/>
        <v/>
      </c>
      <c r="HD775" s="2579" t="str">
        <f t="shared" si="192"/>
        <v/>
      </c>
      <c r="HE775" s="2579" t="str">
        <f t="shared" si="193"/>
        <v/>
      </c>
      <c r="HF775" s="2579" t="str">
        <f t="shared" si="194"/>
        <v/>
      </c>
      <c r="HG775" s="2579" t="str">
        <f t="shared" si="195"/>
        <v/>
      </c>
      <c r="HH775" s="2579" t="str">
        <f t="shared" si="196"/>
        <v/>
      </c>
      <c r="HI775" s="2579" t="str">
        <f t="shared" si="197"/>
        <v/>
      </c>
      <c r="HJ775" s="2579" t="str">
        <f t="shared" si="198"/>
        <v/>
      </c>
      <c r="HK775" s="2579" t="str">
        <f t="shared" si="199"/>
        <v/>
      </c>
      <c r="HL775" s="2579" t="str">
        <f t="shared" si="200"/>
        <v/>
      </c>
      <c r="HM775" s="2579" t="str">
        <f t="shared" si="201"/>
        <v/>
      </c>
      <c r="HN775" s="2579" t="str">
        <f t="shared" si="202"/>
        <v/>
      </c>
      <c r="HO775" s="2579" t="str">
        <f t="shared" si="203"/>
        <v/>
      </c>
      <c r="HP775" s="2579" t="str">
        <f t="shared" si="204"/>
        <v/>
      </c>
      <c r="HQ775" s="2579" t="str">
        <f t="shared" si="205"/>
        <v/>
      </c>
      <c r="HR775" s="2579" t="str">
        <f t="shared" si="206"/>
        <v/>
      </c>
      <c r="HS775" s="2579" t="str">
        <f t="shared" si="207"/>
        <v/>
      </c>
      <c r="HT775" s="2579" t="str">
        <f t="shared" si="208"/>
        <v/>
      </c>
      <c r="HU775" s="2579" t="str">
        <f t="shared" si="209"/>
        <v/>
      </c>
      <c r="HV775" s="2579" t="str">
        <f t="shared" si="210"/>
        <v/>
      </c>
      <c r="HW775" s="2579" t="str">
        <f t="shared" si="211"/>
        <v/>
      </c>
      <c r="HX775" s="2579" t="str">
        <f t="shared" si="212"/>
        <v/>
      </c>
      <c r="HY775" s="2579" t="str">
        <f t="shared" si="213"/>
        <v/>
      </c>
      <c r="HZ775" s="2579" t="str">
        <f t="shared" si="214"/>
        <v/>
      </c>
      <c r="IA775" s="2579" t="str">
        <f t="shared" si="215"/>
        <v/>
      </c>
      <c r="IB775" s="2579" t="str">
        <f t="shared" si="216"/>
        <v/>
      </c>
      <c r="IC775" s="2579" t="str">
        <f t="shared" si="217"/>
        <v/>
      </c>
      <c r="ID775" s="2551" t="str">
        <f t="shared" si="218"/>
        <v/>
      </c>
      <c r="IE775" s="2551" t="str">
        <f t="shared" si="219"/>
        <v/>
      </c>
      <c r="IF775" s="2551" t="str">
        <f t="shared" si="220"/>
        <v/>
      </c>
      <c r="IG775" s="2551" t="str">
        <f t="shared" si="221"/>
        <v/>
      </c>
      <c r="IH775" s="2551"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2549">
        <f t="shared" si="243"/>
        <v>0</v>
      </c>
      <c r="JD775" s="2549">
        <f t="shared" si="244"/>
        <v>0</v>
      </c>
      <c r="JE775" s="2549">
        <f t="shared" si="245"/>
        <v>0</v>
      </c>
      <c r="JF775" s="2549">
        <f t="shared" si="246"/>
        <v>0</v>
      </c>
      <c r="JG775" s="2549">
        <f t="shared" si="247"/>
        <v>0</v>
      </c>
      <c r="JH775" s="2549">
        <f t="shared" si="248"/>
        <v>0</v>
      </c>
      <c r="JI775" s="2549">
        <f t="shared" si="249"/>
        <v>0</v>
      </c>
      <c r="JJ775" s="2549">
        <f t="shared" si="250"/>
        <v>0</v>
      </c>
      <c r="JK775" s="2549">
        <f t="shared" si="251"/>
        <v>0</v>
      </c>
      <c r="JL775" s="2549">
        <f t="shared" si="252"/>
        <v>0</v>
      </c>
      <c r="JM775" s="2549">
        <f t="shared" si="253"/>
        <v>0</v>
      </c>
      <c r="JN775" s="2549">
        <f t="shared" si="254"/>
        <v>0</v>
      </c>
      <c r="JO775" s="2549">
        <f t="shared" si="255"/>
        <v>0</v>
      </c>
      <c r="JP775" s="2549">
        <f t="shared" si="256"/>
        <v>0</v>
      </c>
      <c r="JQ775" s="2549">
        <f t="shared" si="257"/>
        <v>0</v>
      </c>
    </row>
    <row r="776" spans="1:277" ht="12" customHeight="1">
      <c r="A776" s="2562" t="str">
        <f t="shared" si="0"/>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1"/>
        <v>0</v>
      </c>
      <c r="L776" s="2576">
        <f t="shared" si="2"/>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2579" t="str">
        <f t="shared" si="133"/>
        <v/>
      </c>
      <c r="EX776" s="2579" t="str">
        <f t="shared" si="134"/>
        <v/>
      </c>
      <c r="EY776" s="2579" t="str">
        <f t="shared" si="135"/>
        <v/>
      </c>
      <c r="EZ776" s="2579" t="str">
        <f t="shared" si="136"/>
        <v/>
      </c>
      <c r="FA776" s="2579" t="str">
        <f t="shared" si="137"/>
        <v/>
      </c>
      <c r="FB776" s="2579" t="str">
        <f t="shared" si="138"/>
        <v/>
      </c>
      <c r="FC776" s="2579" t="str">
        <f t="shared" si="139"/>
        <v/>
      </c>
      <c r="FD776" s="2579" t="str">
        <f t="shared" si="140"/>
        <v/>
      </c>
      <c r="FE776" s="2579" t="str">
        <f t="shared" si="141"/>
        <v/>
      </c>
      <c r="FF776" s="2579" t="str">
        <f t="shared" si="142"/>
        <v/>
      </c>
      <c r="FG776" s="2579" t="str">
        <f t="shared" si="143"/>
        <v/>
      </c>
      <c r="FH776" s="2579" t="str">
        <f t="shared" si="144"/>
        <v/>
      </c>
      <c r="FI776" s="2579" t="str">
        <f t="shared" si="145"/>
        <v/>
      </c>
      <c r="FJ776" s="2579" t="str">
        <f t="shared" si="146"/>
        <v/>
      </c>
      <c r="FK776" s="2579" t="str">
        <f t="shared" si="147"/>
        <v/>
      </c>
      <c r="FL776" s="2579" t="str">
        <f t="shared" si="148"/>
        <v/>
      </c>
      <c r="FM776" s="2579" t="str">
        <f t="shared" si="149"/>
        <v/>
      </c>
      <c r="FN776" s="2579" t="str">
        <f t="shared" si="150"/>
        <v/>
      </c>
      <c r="FO776" s="2579" t="str">
        <f t="shared" si="151"/>
        <v/>
      </c>
      <c r="FP776" s="2579" t="str">
        <f t="shared" si="152"/>
        <v/>
      </c>
      <c r="FQ776" s="2579" t="str">
        <f t="shared" si="153"/>
        <v/>
      </c>
      <c r="FR776" s="2579" t="str">
        <f t="shared" si="154"/>
        <v/>
      </c>
      <c r="FS776" s="2579" t="str">
        <f t="shared" si="155"/>
        <v/>
      </c>
      <c r="FT776" s="2579" t="str">
        <f t="shared" si="156"/>
        <v/>
      </c>
      <c r="FU776" s="2579" t="str">
        <f t="shared" si="157"/>
        <v/>
      </c>
      <c r="FV776" s="2579" t="str">
        <f t="shared" si="158"/>
        <v/>
      </c>
      <c r="FW776" s="2579" t="str">
        <f t="shared" si="159"/>
        <v/>
      </c>
      <c r="FX776" s="2579" t="str">
        <f t="shared" si="160"/>
        <v/>
      </c>
      <c r="FY776" s="2579" t="str">
        <f t="shared" si="161"/>
        <v/>
      </c>
      <c r="FZ776" s="2579" t="str">
        <f t="shared" si="162"/>
        <v/>
      </c>
      <c r="GA776" s="2579" t="str">
        <f t="shared" si="163"/>
        <v/>
      </c>
      <c r="GB776" s="2579" t="str">
        <f t="shared" si="164"/>
        <v/>
      </c>
      <c r="GC776" s="2579" t="str">
        <f t="shared" si="165"/>
        <v/>
      </c>
      <c r="GD776" s="2579" t="str">
        <f t="shared" si="166"/>
        <v/>
      </c>
      <c r="GE776" s="2579" t="str">
        <f t="shared" si="167"/>
        <v/>
      </c>
      <c r="GF776" s="2579" t="str">
        <f t="shared" si="168"/>
        <v/>
      </c>
      <c r="GG776" s="2579" t="str">
        <f t="shared" si="169"/>
        <v/>
      </c>
      <c r="GH776" s="2579" t="str">
        <f t="shared" si="170"/>
        <v/>
      </c>
      <c r="GI776" s="2579" t="str">
        <f t="shared" si="171"/>
        <v/>
      </c>
      <c r="GJ776" s="2579" t="str">
        <f t="shared" si="172"/>
        <v/>
      </c>
      <c r="GK776" s="2579" t="str">
        <f t="shared" si="173"/>
        <v/>
      </c>
      <c r="GL776" s="2579" t="str">
        <f t="shared" si="174"/>
        <v/>
      </c>
      <c r="GM776" s="2579" t="str">
        <f t="shared" si="175"/>
        <v/>
      </c>
      <c r="GN776" s="2579" t="str">
        <f t="shared" si="176"/>
        <v/>
      </c>
      <c r="GO776" s="2579" t="str">
        <f t="shared" si="177"/>
        <v/>
      </c>
      <c r="GP776" s="2579" t="str">
        <f t="shared" si="178"/>
        <v/>
      </c>
      <c r="GQ776" s="2579" t="str">
        <f t="shared" si="179"/>
        <v/>
      </c>
      <c r="GR776" s="2579" t="str">
        <f t="shared" si="180"/>
        <v/>
      </c>
      <c r="GS776" s="2579" t="str">
        <f t="shared" si="181"/>
        <v/>
      </c>
      <c r="GT776" s="2579" t="str">
        <f t="shared" si="182"/>
        <v/>
      </c>
      <c r="GU776" s="2579" t="str">
        <f t="shared" si="183"/>
        <v/>
      </c>
      <c r="GV776" s="2579" t="str">
        <f t="shared" si="184"/>
        <v/>
      </c>
      <c r="GW776" s="2579" t="str">
        <f t="shared" si="185"/>
        <v/>
      </c>
      <c r="GX776" s="2579" t="str">
        <f t="shared" si="186"/>
        <v/>
      </c>
      <c r="GY776" s="2579" t="str">
        <f t="shared" si="187"/>
        <v/>
      </c>
      <c r="GZ776" s="2579" t="str">
        <f t="shared" si="188"/>
        <v/>
      </c>
      <c r="HA776" s="2579" t="str">
        <f t="shared" si="189"/>
        <v/>
      </c>
      <c r="HB776" s="2579" t="str">
        <f t="shared" si="190"/>
        <v/>
      </c>
      <c r="HC776" s="2579" t="str">
        <f t="shared" si="191"/>
        <v/>
      </c>
      <c r="HD776" s="2579" t="str">
        <f t="shared" si="192"/>
        <v/>
      </c>
      <c r="HE776" s="2579" t="str">
        <f t="shared" si="193"/>
        <v/>
      </c>
      <c r="HF776" s="2579" t="str">
        <f t="shared" si="194"/>
        <v/>
      </c>
      <c r="HG776" s="2579" t="str">
        <f t="shared" si="195"/>
        <v/>
      </c>
      <c r="HH776" s="2579" t="str">
        <f t="shared" si="196"/>
        <v/>
      </c>
      <c r="HI776" s="2579" t="str">
        <f t="shared" si="197"/>
        <v/>
      </c>
      <c r="HJ776" s="2579" t="str">
        <f t="shared" si="198"/>
        <v/>
      </c>
      <c r="HK776" s="2579" t="str">
        <f t="shared" si="199"/>
        <v/>
      </c>
      <c r="HL776" s="2579" t="str">
        <f t="shared" si="200"/>
        <v/>
      </c>
      <c r="HM776" s="2579" t="str">
        <f t="shared" si="201"/>
        <v/>
      </c>
      <c r="HN776" s="2579" t="str">
        <f t="shared" si="202"/>
        <v/>
      </c>
      <c r="HO776" s="2579" t="str">
        <f t="shared" si="203"/>
        <v/>
      </c>
      <c r="HP776" s="2579" t="str">
        <f t="shared" si="204"/>
        <v/>
      </c>
      <c r="HQ776" s="2579" t="str">
        <f t="shared" si="205"/>
        <v/>
      </c>
      <c r="HR776" s="2579" t="str">
        <f t="shared" si="206"/>
        <v/>
      </c>
      <c r="HS776" s="2579" t="str">
        <f t="shared" si="207"/>
        <v/>
      </c>
      <c r="HT776" s="2579" t="str">
        <f t="shared" si="208"/>
        <v/>
      </c>
      <c r="HU776" s="2579" t="str">
        <f t="shared" si="209"/>
        <v/>
      </c>
      <c r="HV776" s="2579" t="str">
        <f t="shared" si="210"/>
        <v/>
      </c>
      <c r="HW776" s="2579" t="str">
        <f t="shared" si="211"/>
        <v/>
      </c>
      <c r="HX776" s="2579" t="str">
        <f t="shared" si="212"/>
        <v/>
      </c>
      <c r="HY776" s="2579" t="str">
        <f t="shared" si="213"/>
        <v/>
      </c>
      <c r="HZ776" s="2579" t="str">
        <f t="shared" si="214"/>
        <v/>
      </c>
      <c r="IA776" s="2579" t="str">
        <f t="shared" si="215"/>
        <v/>
      </c>
      <c r="IB776" s="2579" t="str">
        <f t="shared" si="216"/>
        <v/>
      </c>
      <c r="IC776" s="2579" t="str">
        <f t="shared" si="217"/>
        <v/>
      </c>
      <c r="ID776" s="2551" t="str">
        <f t="shared" si="218"/>
        <v/>
      </c>
      <c r="IE776" s="2551" t="str">
        <f t="shared" si="219"/>
        <v/>
      </c>
      <c r="IF776" s="2551" t="str">
        <f t="shared" si="220"/>
        <v/>
      </c>
      <c r="IG776" s="2551" t="str">
        <f t="shared" si="221"/>
        <v/>
      </c>
      <c r="IH776" s="2551"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2549">
        <f t="shared" si="243"/>
        <v>0</v>
      </c>
      <c r="JD776" s="2549">
        <f t="shared" si="244"/>
        <v>0</v>
      </c>
      <c r="JE776" s="2549">
        <f t="shared" si="245"/>
        <v>0</v>
      </c>
      <c r="JF776" s="2549">
        <f t="shared" si="246"/>
        <v>0</v>
      </c>
      <c r="JG776" s="2549">
        <f t="shared" si="247"/>
        <v>0</v>
      </c>
      <c r="JH776" s="2549">
        <f t="shared" si="248"/>
        <v>0</v>
      </c>
      <c r="JI776" s="2549">
        <f t="shared" si="249"/>
        <v>0</v>
      </c>
      <c r="JJ776" s="2549">
        <f t="shared" si="250"/>
        <v>0</v>
      </c>
      <c r="JK776" s="2549">
        <f t="shared" si="251"/>
        <v>0</v>
      </c>
      <c r="JL776" s="2549">
        <f t="shared" si="252"/>
        <v>0</v>
      </c>
      <c r="JM776" s="2549">
        <f t="shared" si="253"/>
        <v>0</v>
      </c>
      <c r="JN776" s="2549">
        <f t="shared" si="254"/>
        <v>0</v>
      </c>
      <c r="JO776" s="2549">
        <f t="shared" si="255"/>
        <v>0</v>
      </c>
      <c r="JP776" s="2549">
        <f t="shared" si="256"/>
        <v>0</v>
      </c>
      <c r="JQ776" s="2549">
        <f t="shared" si="257"/>
        <v>0</v>
      </c>
    </row>
    <row r="777" spans="1:277" ht="12" customHeight="1">
      <c r="A777" s="2562" t="str">
        <f t="shared" si="0"/>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1"/>
        <v>0</v>
      </c>
      <c r="L777" s="2576">
        <f t="shared" si="2"/>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2579" t="str">
        <f t="shared" si="133"/>
        <v/>
      </c>
      <c r="EX777" s="2579" t="str">
        <f t="shared" si="134"/>
        <v/>
      </c>
      <c r="EY777" s="2579" t="str">
        <f t="shared" si="135"/>
        <v/>
      </c>
      <c r="EZ777" s="2579" t="str">
        <f t="shared" si="136"/>
        <v/>
      </c>
      <c r="FA777" s="2579" t="str">
        <f t="shared" si="137"/>
        <v/>
      </c>
      <c r="FB777" s="2579" t="str">
        <f t="shared" si="138"/>
        <v/>
      </c>
      <c r="FC777" s="2579" t="str">
        <f t="shared" si="139"/>
        <v/>
      </c>
      <c r="FD777" s="2579" t="str">
        <f t="shared" si="140"/>
        <v/>
      </c>
      <c r="FE777" s="2579" t="str">
        <f t="shared" si="141"/>
        <v/>
      </c>
      <c r="FF777" s="2579" t="str">
        <f t="shared" si="142"/>
        <v/>
      </c>
      <c r="FG777" s="2579" t="str">
        <f t="shared" si="143"/>
        <v/>
      </c>
      <c r="FH777" s="2579" t="str">
        <f t="shared" si="144"/>
        <v/>
      </c>
      <c r="FI777" s="2579" t="str">
        <f t="shared" si="145"/>
        <v/>
      </c>
      <c r="FJ777" s="2579" t="str">
        <f t="shared" si="146"/>
        <v/>
      </c>
      <c r="FK777" s="2579" t="str">
        <f t="shared" si="147"/>
        <v/>
      </c>
      <c r="FL777" s="2579" t="str">
        <f t="shared" si="148"/>
        <v/>
      </c>
      <c r="FM777" s="2579" t="str">
        <f t="shared" si="149"/>
        <v/>
      </c>
      <c r="FN777" s="2579" t="str">
        <f t="shared" si="150"/>
        <v/>
      </c>
      <c r="FO777" s="2579" t="str">
        <f t="shared" si="151"/>
        <v/>
      </c>
      <c r="FP777" s="2579" t="str">
        <f t="shared" si="152"/>
        <v/>
      </c>
      <c r="FQ777" s="2579" t="str">
        <f t="shared" si="153"/>
        <v/>
      </c>
      <c r="FR777" s="2579" t="str">
        <f t="shared" si="154"/>
        <v/>
      </c>
      <c r="FS777" s="2579" t="str">
        <f t="shared" si="155"/>
        <v/>
      </c>
      <c r="FT777" s="2579" t="str">
        <f t="shared" si="156"/>
        <v/>
      </c>
      <c r="FU777" s="2579" t="str">
        <f t="shared" si="157"/>
        <v/>
      </c>
      <c r="FV777" s="2579" t="str">
        <f t="shared" si="158"/>
        <v/>
      </c>
      <c r="FW777" s="2579" t="str">
        <f t="shared" si="159"/>
        <v/>
      </c>
      <c r="FX777" s="2579" t="str">
        <f t="shared" si="160"/>
        <v/>
      </c>
      <c r="FY777" s="2579" t="str">
        <f t="shared" si="161"/>
        <v/>
      </c>
      <c r="FZ777" s="2579" t="str">
        <f t="shared" si="162"/>
        <v/>
      </c>
      <c r="GA777" s="2579" t="str">
        <f t="shared" si="163"/>
        <v/>
      </c>
      <c r="GB777" s="2579" t="str">
        <f t="shared" si="164"/>
        <v/>
      </c>
      <c r="GC777" s="2579" t="str">
        <f t="shared" si="165"/>
        <v/>
      </c>
      <c r="GD777" s="2579" t="str">
        <f t="shared" si="166"/>
        <v/>
      </c>
      <c r="GE777" s="2579" t="str">
        <f t="shared" si="167"/>
        <v/>
      </c>
      <c r="GF777" s="2579" t="str">
        <f t="shared" si="168"/>
        <v/>
      </c>
      <c r="GG777" s="2579" t="str">
        <f t="shared" si="169"/>
        <v/>
      </c>
      <c r="GH777" s="2579" t="str">
        <f t="shared" si="170"/>
        <v/>
      </c>
      <c r="GI777" s="2579" t="str">
        <f t="shared" si="171"/>
        <v/>
      </c>
      <c r="GJ777" s="2579" t="str">
        <f t="shared" si="172"/>
        <v/>
      </c>
      <c r="GK777" s="2579" t="str">
        <f t="shared" si="173"/>
        <v/>
      </c>
      <c r="GL777" s="2579" t="str">
        <f t="shared" si="174"/>
        <v/>
      </c>
      <c r="GM777" s="2579" t="str">
        <f t="shared" si="175"/>
        <v/>
      </c>
      <c r="GN777" s="2579" t="str">
        <f t="shared" si="176"/>
        <v/>
      </c>
      <c r="GO777" s="2579" t="str">
        <f t="shared" si="177"/>
        <v/>
      </c>
      <c r="GP777" s="2579" t="str">
        <f t="shared" si="178"/>
        <v/>
      </c>
      <c r="GQ777" s="2579" t="str">
        <f t="shared" si="179"/>
        <v/>
      </c>
      <c r="GR777" s="2579" t="str">
        <f t="shared" si="180"/>
        <v/>
      </c>
      <c r="GS777" s="2579" t="str">
        <f t="shared" si="181"/>
        <v/>
      </c>
      <c r="GT777" s="2579" t="str">
        <f t="shared" si="182"/>
        <v/>
      </c>
      <c r="GU777" s="2579" t="str">
        <f t="shared" si="183"/>
        <v/>
      </c>
      <c r="GV777" s="2579" t="str">
        <f t="shared" si="184"/>
        <v/>
      </c>
      <c r="GW777" s="2579" t="str">
        <f t="shared" si="185"/>
        <v/>
      </c>
      <c r="GX777" s="2579" t="str">
        <f t="shared" si="186"/>
        <v/>
      </c>
      <c r="GY777" s="2579" t="str">
        <f t="shared" si="187"/>
        <v/>
      </c>
      <c r="GZ777" s="2579" t="str">
        <f t="shared" si="188"/>
        <v/>
      </c>
      <c r="HA777" s="2579" t="str">
        <f t="shared" si="189"/>
        <v/>
      </c>
      <c r="HB777" s="2579" t="str">
        <f t="shared" si="190"/>
        <v/>
      </c>
      <c r="HC777" s="2579" t="str">
        <f t="shared" si="191"/>
        <v/>
      </c>
      <c r="HD777" s="2579" t="str">
        <f t="shared" si="192"/>
        <v/>
      </c>
      <c r="HE777" s="2579" t="str">
        <f t="shared" si="193"/>
        <v/>
      </c>
      <c r="HF777" s="2579" t="str">
        <f t="shared" si="194"/>
        <v/>
      </c>
      <c r="HG777" s="2579" t="str">
        <f t="shared" si="195"/>
        <v/>
      </c>
      <c r="HH777" s="2579" t="str">
        <f t="shared" si="196"/>
        <v/>
      </c>
      <c r="HI777" s="2579" t="str">
        <f t="shared" si="197"/>
        <v/>
      </c>
      <c r="HJ777" s="2579" t="str">
        <f t="shared" si="198"/>
        <v/>
      </c>
      <c r="HK777" s="2579" t="str">
        <f t="shared" si="199"/>
        <v/>
      </c>
      <c r="HL777" s="2579" t="str">
        <f t="shared" si="200"/>
        <v/>
      </c>
      <c r="HM777" s="2579" t="str">
        <f t="shared" si="201"/>
        <v/>
      </c>
      <c r="HN777" s="2579" t="str">
        <f t="shared" si="202"/>
        <v/>
      </c>
      <c r="HO777" s="2579" t="str">
        <f t="shared" si="203"/>
        <v/>
      </c>
      <c r="HP777" s="2579" t="str">
        <f t="shared" si="204"/>
        <v/>
      </c>
      <c r="HQ777" s="2579" t="str">
        <f t="shared" si="205"/>
        <v/>
      </c>
      <c r="HR777" s="2579" t="str">
        <f t="shared" si="206"/>
        <v/>
      </c>
      <c r="HS777" s="2579" t="str">
        <f t="shared" si="207"/>
        <v/>
      </c>
      <c r="HT777" s="2579" t="str">
        <f t="shared" si="208"/>
        <v/>
      </c>
      <c r="HU777" s="2579" t="str">
        <f t="shared" si="209"/>
        <v/>
      </c>
      <c r="HV777" s="2579" t="str">
        <f t="shared" si="210"/>
        <v/>
      </c>
      <c r="HW777" s="2579" t="str">
        <f t="shared" si="211"/>
        <v/>
      </c>
      <c r="HX777" s="2579" t="str">
        <f t="shared" si="212"/>
        <v/>
      </c>
      <c r="HY777" s="2579" t="str">
        <f t="shared" si="213"/>
        <v/>
      </c>
      <c r="HZ777" s="2579" t="str">
        <f t="shared" si="214"/>
        <v/>
      </c>
      <c r="IA777" s="2579" t="str">
        <f t="shared" si="215"/>
        <v/>
      </c>
      <c r="IB777" s="2579" t="str">
        <f t="shared" si="216"/>
        <v/>
      </c>
      <c r="IC777" s="2579" t="str">
        <f t="shared" si="217"/>
        <v/>
      </c>
      <c r="ID777" s="2551" t="str">
        <f t="shared" si="218"/>
        <v/>
      </c>
      <c r="IE777" s="2551" t="str">
        <f t="shared" si="219"/>
        <v/>
      </c>
      <c r="IF777" s="2551" t="str">
        <f t="shared" si="220"/>
        <v/>
      </c>
      <c r="IG777" s="2551" t="str">
        <f t="shared" si="221"/>
        <v/>
      </c>
      <c r="IH777" s="2551"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2549">
        <f t="shared" si="243"/>
        <v>0</v>
      </c>
      <c r="JD777" s="2549">
        <f t="shared" si="244"/>
        <v>0</v>
      </c>
      <c r="JE777" s="2549">
        <f t="shared" si="245"/>
        <v>0</v>
      </c>
      <c r="JF777" s="2549">
        <f t="shared" si="246"/>
        <v>0</v>
      </c>
      <c r="JG777" s="2549">
        <f t="shared" si="247"/>
        <v>0</v>
      </c>
      <c r="JH777" s="2549">
        <f t="shared" si="248"/>
        <v>0</v>
      </c>
      <c r="JI777" s="2549">
        <f t="shared" si="249"/>
        <v>0</v>
      </c>
      <c r="JJ777" s="2549">
        <f t="shared" si="250"/>
        <v>0</v>
      </c>
      <c r="JK777" s="2549">
        <f t="shared" si="251"/>
        <v>0</v>
      </c>
      <c r="JL777" s="2549">
        <f t="shared" si="252"/>
        <v>0</v>
      </c>
      <c r="JM777" s="2549">
        <f t="shared" si="253"/>
        <v>0</v>
      </c>
      <c r="JN777" s="2549">
        <f t="shared" si="254"/>
        <v>0</v>
      </c>
      <c r="JO777" s="2549">
        <f t="shared" si="255"/>
        <v>0</v>
      </c>
      <c r="JP777" s="2549">
        <f t="shared" si="256"/>
        <v>0</v>
      </c>
      <c r="JQ777" s="2549">
        <f t="shared" si="257"/>
        <v>0</v>
      </c>
    </row>
    <row r="778" spans="1:277" ht="12" customHeight="1">
      <c r="A778" s="2562" t="str">
        <f t="shared" si="0"/>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1"/>
        <v>0</v>
      </c>
      <c r="L778" s="2576">
        <f t="shared" si="2"/>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2579" t="str">
        <f t="shared" si="133"/>
        <v/>
      </c>
      <c r="EX778" s="2579" t="str">
        <f t="shared" si="134"/>
        <v/>
      </c>
      <c r="EY778" s="2579" t="str">
        <f t="shared" si="135"/>
        <v/>
      </c>
      <c r="EZ778" s="2579" t="str">
        <f t="shared" si="136"/>
        <v/>
      </c>
      <c r="FA778" s="2579" t="str">
        <f t="shared" si="137"/>
        <v/>
      </c>
      <c r="FB778" s="2579" t="str">
        <f t="shared" si="138"/>
        <v/>
      </c>
      <c r="FC778" s="2579" t="str">
        <f t="shared" si="139"/>
        <v/>
      </c>
      <c r="FD778" s="2579" t="str">
        <f t="shared" si="140"/>
        <v/>
      </c>
      <c r="FE778" s="2579" t="str">
        <f t="shared" si="141"/>
        <v/>
      </c>
      <c r="FF778" s="2579" t="str">
        <f t="shared" si="142"/>
        <v/>
      </c>
      <c r="FG778" s="2579" t="str">
        <f t="shared" si="143"/>
        <v/>
      </c>
      <c r="FH778" s="2579" t="str">
        <f t="shared" si="144"/>
        <v/>
      </c>
      <c r="FI778" s="2579" t="str">
        <f t="shared" si="145"/>
        <v/>
      </c>
      <c r="FJ778" s="2579" t="str">
        <f t="shared" si="146"/>
        <v/>
      </c>
      <c r="FK778" s="2579" t="str">
        <f t="shared" si="147"/>
        <v/>
      </c>
      <c r="FL778" s="2579" t="str">
        <f t="shared" si="148"/>
        <v/>
      </c>
      <c r="FM778" s="2579" t="str">
        <f t="shared" si="149"/>
        <v/>
      </c>
      <c r="FN778" s="2579" t="str">
        <f t="shared" si="150"/>
        <v/>
      </c>
      <c r="FO778" s="2579" t="str">
        <f t="shared" si="151"/>
        <v/>
      </c>
      <c r="FP778" s="2579" t="str">
        <f t="shared" si="152"/>
        <v/>
      </c>
      <c r="FQ778" s="2579" t="str">
        <f t="shared" si="153"/>
        <v/>
      </c>
      <c r="FR778" s="2579" t="str">
        <f t="shared" si="154"/>
        <v/>
      </c>
      <c r="FS778" s="2579" t="str">
        <f t="shared" si="155"/>
        <v/>
      </c>
      <c r="FT778" s="2579" t="str">
        <f t="shared" si="156"/>
        <v/>
      </c>
      <c r="FU778" s="2579" t="str">
        <f t="shared" si="157"/>
        <v/>
      </c>
      <c r="FV778" s="2579" t="str">
        <f t="shared" si="158"/>
        <v/>
      </c>
      <c r="FW778" s="2579" t="str">
        <f t="shared" si="159"/>
        <v/>
      </c>
      <c r="FX778" s="2579" t="str">
        <f t="shared" si="160"/>
        <v/>
      </c>
      <c r="FY778" s="2579" t="str">
        <f t="shared" si="161"/>
        <v/>
      </c>
      <c r="FZ778" s="2579" t="str">
        <f t="shared" si="162"/>
        <v/>
      </c>
      <c r="GA778" s="2579" t="str">
        <f t="shared" si="163"/>
        <v/>
      </c>
      <c r="GB778" s="2579" t="str">
        <f t="shared" si="164"/>
        <v/>
      </c>
      <c r="GC778" s="2579" t="str">
        <f t="shared" si="165"/>
        <v/>
      </c>
      <c r="GD778" s="2579" t="str">
        <f t="shared" si="166"/>
        <v/>
      </c>
      <c r="GE778" s="2579" t="str">
        <f t="shared" si="167"/>
        <v/>
      </c>
      <c r="GF778" s="2579" t="str">
        <f t="shared" si="168"/>
        <v/>
      </c>
      <c r="GG778" s="2579" t="str">
        <f t="shared" si="169"/>
        <v/>
      </c>
      <c r="GH778" s="2579" t="str">
        <f t="shared" si="170"/>
        <v/>
      </c>
      <c r="GI778" s="2579" t="str">
        <f t="shared" si="171"/>
        <v/>
      </c>
      <c r="GJ778" s="2579" t="str">
        <f t="shared" si="172"/>
        <v/>
      </c>
      <c r="GK778" s="2579" t="str">
        <f t="shared" si="173"/>
        <v/>
      </c>
      <c r="GL778" s="2579" t="str">
        <f t="shared" si="174"/>
        <v/>
      </c>
      <c r="GM778" s="2579" t="str">
        <f t="shared" si="175"/>
        <v/>
      </c>
      <c r="GN778" s="2579" t="str">
        <f t="shared" si="176"/>
        <v/>
      </c>
      <c r="GO778" s="2579" t="str">
        <f t="shared" si="177"/>
        <v/>
      </c>
      <c r="GP778" s="2579" t="str">
        <f t="shared" si="178"/>
        <v/>
      </c>
      <c r="GQ778" s="2579" t="str">
        <f t="shared" si="179"/>
        <v/>
      </c>
      <c r="GR778" s="2579" t="str">
        <f t="shared" si="180"/>
        <v/>
      </c>
      <c r="GS778" s="2579" t="str">
        <f t="shared" si="181"/>
        <v/>
      </c>
      <c r="GT778" s="2579" t="str">
        <f t="shared" si="182"/>
        <v/>
      </c>
      <c r="GU778" s="2579" t="str">
        <f t="shared" si="183"/>
        <v/>
      </c>
      <c r="GV778" s="2579" t="str">
        <f t="shared" si="184"/>
        <v/>
      </c>
      <c r="GW778" s="2579" t="str">
        <f t="shared" si="185"/>
        <v/>
      </c>
      <c r="GX778" s="2579" t="str">
        <f t="shared" si="186"/>
        <v/>
      </c>
      <c r="GY778" s="2579" t="str">
        <f t="shared" si="187"/>
        <v/>
      </c>
      <c r="GZ778" s="2579" t="str">
        <f t="shared" si="188"/>
        <v/>
      </c>
      <c r="HA778" s="2579" t="str">
        <f t="shared" si="189"/>
        <v/>
      </c>
      <c r="HB778" s="2579" t="str">
        <f t="shared" si="190"/>
        <v/>
      </c>
      <c r="HC778" s="2579" t="str">
        <f t="shared" si="191"/>
        <v/>
      </c>
      <c r="HD778" s="2579" t="str">
        <f t="shared" si="192"/>
        <v/>
      </c>
      <c r="HE778" s="2579" t="str">
        <f t="shared" si="193"/>
        <v/>
      </c>
      <c r="HF778" s="2579" t="str">
        <f t="shared" si="194"/>
        <v/>
      </c>
      <c r="HG778" s="2579" t="str">
        <f t="shared" si="195"/>
        <v/>
      </c>
      <c r="HH778" s="2579" t="str">
        <f t="shared" si="196"/>
        <v/>
      </c>
      <c r="HI778" s="2579" t="str">
        <f t="shared" si="197"/>
        <v/>
      </c>
      <c r="HJ778" s="2579" t="str">
        <f t="shared" si="198"/>
        <v/>
      </c>
      <c r="HK778" s="2579" t="str">
        <f t="shared" si="199"/>
        <v/>
      </c>
      <c r="HL778" s="2579" t="str">
        <f t="shared" si="200"/>
        <v/>
      </c>
      <c r="HM778" s="2579" t="str">
        <f t="shared" si="201"/>
        <v/>
      </c>
      <c r="HN778" s="2579" t="str">
        <f t="shared" si="202"/>
        <v/>
      </c>
      <c r="HO778" s="2579" t="str">
        <f t="shared" si="203"/>
        <v/>
      </c>
      <c r="HP778" s="2579" t="str">
        <f t="shared" si="204"/>
        <v/>
      </c>
      <c r="HQ778" s="2579" t="str">
        <f t="shared" si="205"/>
        <v/>
      </c>
      <c r="HR778" s="2579" t="str">
        <f t="shared" si="206"/>
        <v/>
      </c>
      <c r="HS778" s="2579" t="str">
        <f t="shared" si="207"/>
        <v/>
      </c>
      <c r="HT778" s="2579" t="str">
        <f t="shared" si="208"/>
        <v/>
      </c>
      <c r="HU778" s="2579" t="str">
        <f t="shared" si="209"/>
        <v/>
      </c>
      <c r="HV778" s="2579" t="str">
        <f t="shared" si="210"/>
        <v/>
      </c>
      <c r="HW778" s="2579" t="str">
        <f t="shared" si="211"/>
        <v/>
      </c>
      <c r="HX778" s="2579" t="str">
        <f t="shared" si="212"/>
        <v/>
      </c>
      <c r="HY778" s="2579" t="str">
        <f t="shared" si="213"/>
        <v/>
      </c>
      <c r="HZ778" s="2579" t="str">
        <f t="shared" si="214"/>
        <v/>
      </c>
      <c r="IA778" s="2579" t="str">
        <f t="shared" si="215"/>
        <v/>
      </c>
      <c r="IB778" s="2579" t="str">
        <f t="shared" si="216"/>
        <v/>
      </c>
      <c r="IC778" s="2579" t="str">
        <f t="shared" si="217"/>
        <v/>
      </c>
      <c r="ID778" s="2551" t="str">
        <f t="shared" si="218"/>
        <v/>
      </c>
      <c r="IE778" s="2551" t="str">
        <f t="shared" si="219"/>
        <v/>
      </c>
      <c r="IF778" s="2551" t="str">
        <f t="shared" si="220"/>
        <v/>
      </c>
      <c r="IG778" s="2551" t="str">
        <f t="shared" si="221"/>
        <v/>
      </c>
      <c r="IH778" s="2551"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2549">
        <f t="shared" si="243"/>
        <v>0</v>
      </c>
      <c r="JD778" s="2549">
        <f t="shared" si="244"/>
        <v>0</v>
      </c>
      <c r="JE778" s="2549">
        <f t="shared" si="245"/>
        <v>0</v>
      </c>
      <c r="JF778" s="2549">
        <f t="shared" si="246"/>
        <v>0</v>
      </c>
      <c r="JG778" s="2549">
        <f t="shared" si="247"/>
        <v>0</v>
      </c>
      <c r="JH778" s="2549">
        <f t="shared" si="248"/>
        <v>0</v>
      </c>
      <c r="JI778" s="2549">
        <f t="shared" si="249"/>
        <v>0</v>
      </c>
      <c r="JJ778" s="2549">
        <f t="shared" si="250"/>
        <v>0</v>
      </c>
      <c r="JK778" s="2549">
        <f t="shared" si="251"/>
        <v>0</v>
      </c>
      <c r="JL778" s="2549">
        <f t="shared" si="252"/>
        <v>0</v>
      </c>
      <c r="JM778" s="2549">
        <f t="shared" si="253"/>
        <v>0</v>
      </c>
      <c r="JN778" s="2549">
        <f t="shared" si="254"/>
        <v>0</v>
      </c>
      <c r="JO778" s="2549">
        <f t="shared" si="255"/>
        <v>0</v>
      </c>
      <c r="JP778" s="2549">
        <f t="shared" si="256"/>
        <v>0</v>
      </c>
      <c r="JQ778" s="2549">
        <f t="shared" si="257"/>
        <v>0</v>
      </c>
    </row>
    <row r="779" spans="1:277" ht="12" customHeight="1">
      <c r="A779" s="2562" t="str">
        <f t="shared" si="0"/>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1"/>
        <v>0</v>
      </c>
      <c r="L779" s="2576">
        <f t="shared" si="2"/>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2579" t="str">
        <f t="shared" si="133"/>
        <v/>
      </c>
      <c r="EX779" s="2579" t="str">
        <f t="shared" si="134"/>
        <v/>
      </c>
      <c r="EY779" s="2579" t="str">
        <f t="shared" si="135"/>
        <v/>
      </c>
      <c r="EZ779" s="2579" t="str">
        <f t="shared" si="136"/>
        <v/>
      </c>
      <c r="FA779" s="2579" t="str">
        <f t="shared" si="137"/>
        <v/>
      </c>
      <c r="FB779" s="2579" t="str">
        <f t="shared" si="138"/>
        <v/>
      </c>
      <c r="FC779" s="2579" t="str">
        <f t="shared" si="139"/>
        <v/>
      </c>
      <c r="FD779" s="2579" t="str">
        <f t="shared" si="140"/>
        <v/>
      </c>
      <c r="FE779" s="2579" t="str">
        <f t="shared" si="141"/>
        <v/>
      </c>
      <c r="FF779" s="2579" t="str">
        <f t="shared" si="142"/>
        <v/>
      </c>
      <c r="FG779" s="2579" t="str">
        <f t="shared" si="143"/>
        <v/>
      </c>
      <c r="FH779" s="2579" t="str">
        <f t="shared" si="144"/>
        <v/>
      </c>
      <c r="FI779" s="2579" t="str">
        <f t="shared" si="145"/>
        <v/>
      </c>
      <c r="FJ779" s="2579" t="str">
        <f t="shared" si="146"/>
        <v/>
      </c>
      <c r="FK779" s="2579" t="str">
        <f t="shared" si="147"/>
        <v/>
      </c>
      <c r="FL779" s="2579" t="str">
        <f t="shared" si="148"/>
        <v/>
      </c>
      <c r="FM779" s="2579" t="str">
        <f t="shared" si="149"/>
        <v/>
      </c>
      <c r="FN779" s="2579" t="str">
        <f t="shared" si="150"/>
        <v/>
      </c>
      <c r="FO779" s="2579" t="str">
        <f t="shared" si="151"/>
        <v/>
      </c>
      <c r="FP779" s="2579" t="str">
        <f t="shared" si="152"/>
        <v/>
      </c>
      <c r="FQ779" s="2579" t="str">
        <f t="shared" si="153"/>
        <v/>
      </c>
      <c r="FR779" s="2579" t="str">
        <f t="shared" si="154"/>
        <v/>
      </c>
      <c r="FS779" s="2579" t="str">
        <f t="shared" si="155"/>
        <v/>
      </c>
      <c r="FT779" s="2579" t="str">
        <f t="shared" si="156"/>
        <v/>
      </c>
      <c r="FU779" s="2579" t="str">
        <f t="shared" si="157"/>
        <v/>
      </c>
      <c r="FV779" s="2579" t="str">
        <f t="shared" si="158"/>
        <v/>
      </c>
      <c r="FW779" s="2579" t="str">
        <f t="shared" si="159"/>
        <v/>
      </c>
      <c r="FX779" s="2579" t="str">
        <f t="shared" si="160"/>
        <v/>
      </c>
      <c r="FY779" s="2579" t="str">
        <f t="shared" si="161"/>
        <v/>
      </c>
      <c r="FZ779" s="2579" t="str">
        <f t="shared" si="162"/>
        <v/>
      </c>
      <c r="GA779" s="2579" t="str">
        <f t="shared" si="163"/>
        <v/>
      </c>
      <c r="GB779" s="2579" t="str">
        <f t="shared" si="164"/>
        <v/>
      </c>
      <c r="GC779" s="2579" t="str">
        <f t="shared" si="165"/>
        <v/>
      </c>
      <c r="GD779" s="2579" t="str">
        <f t="shared" si="166"/>
        <v/>
      </c>
      <c r="GE779" s="2579" t="str">
        <f t="shared" si="167"/>
        <v/>
      </c>
      <c r="GF779" s="2579" t="str">
        <f t="shared" si="168"/>
        <v/>
      </c>
      <c r="GG779" s="2579" t="str">
        <f t="shared" si="169"/>
        <v/>
      </c>
      <c r="GH779" s="2579" t="str">
        <f t="shared" si="170"/>
        <v/>
      </c>
      <c r="GI779" s="2579" t="str">
        <f t="shared" si="171"/>
        <v/>
      </c>
      <c r="GJ779" s="2579" t="str">
        <f t="shared" si="172"/>
        <v/>
      </c>
      <c r="GK779" s="2579" t="str">
        <f t="shared" si="173"/>
        <v/>
      </c>
      <c r="GL779" s="2579" t="str">
        <f t="shared" si="174"/>
        <v/>
      </c>
      <c r="GM779" s="2579" t="str">
        <f t="shared" si="175"/>
        <v/>
      </c>
      <c r="GN779" s="2579" t="str">
        <f t="shared" si="176"/>
        <v/>
      </c>
      <c r="GO779" s="2579" t="str">
        <f t="shared" si="177"/>
        <v/>
      </c>
      <c r="GP779" s="2579" t="str">
        <f t="shared" si="178"/>
        <v/>
      </c>
      <c r="GQ779" s="2579" t="str">
        <f t="shared" si="179"/>
        <v/>
      </c>
      <c r="GR779" s="2579" t="str">
        <f t="shared" si="180"/>
        <v/>
      </c>
      <c r="GS779" s="2579" t="str">
        <f t="shared" si="181"/>
        <v/>
      </c>
      <c r="GT779" s="2579" t="str">
        <f t="shared" si="182"/>
        <v/>
      </c>
      <c r="GU779" s="2579" t="str">
        <f t="shared" si="183"/>
        <v/>
      </c>
      <c r="GV779" s="2579" t="str">
        <f t="shared" si="184"/>
        <v/>
      </c>
      <c r="GW779" s="2579" t="str">
        <f t="shared" si="185"/>
        <v/>
      </c>
      <c r="GX779" s="2579" t="str">
        <f t="shared" si="186"/>
        <v/>
      </c>
      <c r="GY779" s="2579" t="str">
        <f t="shared" si="187"/>
        <v/>
      </c>
      <c r="GZ779" s="2579" t="str">
        <f t="shared" si="188"/>
        <v/>
      </c>
      <c r="HA779" s="2579" t="str">
        <f t="shared" si="189"/>
        <v/>
      </c>
      <c r="HB779" s="2579" t="str">
        <f t="shared" si="190"/>
        <v/>
      </c>
      <c r="HC779" s="2579" t="str">
        <f t="shared" si="191"/>
        <v/>
      </c>
      <c r="HD779" s="2579" t="str">
        <f t="shared" si="192"/>
        <v/>
      </c>
      <c r="HE779" s="2579" t="str">
        <f t="shared" si="193"/>
        <v/>
      </c>
      <c r="HF779" s="2579" t="str">
        <f t="shared" si="194"/>
        <v/>
      </c>
      <c r="HG779" s="2579" t="str">
        <f t="shared" si="195"/>
        <v/>
      </c>
      <c r="HH779" s="2579" t="str">
        <f t="shared" si="196"/>
        <v/>
      </c>
      <c r="HI779" s="2579" t="str">
        <f t="shared" si="197"/>
        <v/>
      </c>
      <c r="HJ779" s="2579" t="str">
        <f t="shared" si="198"/>
        <v/>
      </c>
      <c r="HK779" s="2579" t="str">
        <f t="shared" si="199"/>
        <v/>
      </c>
      <c r="HL779" s="2579" t="str">
        <f t="shared" si="200"/>
        <v/>
      </c>
      <c r="HM779" s="2579" t="str">
        <f t="shared" si="201"/>
        <v/>
      </c>
      <c r="HN779" s="2579" t="str">
        <f t="shared" si="202"/>
        <v/>
      </c>
      <c r="HO779" s="2579" t="str">
        <f t="shared" si="203"/>
        <v/>
      </c>
      <c r="HP779" s="2579" t="str">
        <f t="shared" si="204"/>
        <v/>
      </c>
      <c r="HQ779" s="2579" t="str">
        <f t="shared" si="205"/>
        <v/>
      </c>
      <c r="HR779" s="2579" t="str">
        <f t="shared" si="206"/>
        <v/>
      </c>
      <c r="HS779" s="2579" t="str">
        <f t="shared" si="207"/>
        <v/>
      </c>
      <c r="HT779" s="2579" t="str">
        <f t="shared" si="208"/>
        <v/>
      </c>
      <c r="HU779" s="2579" t="str">
        <f t="shared" si="209"/>
        <v/>
      </c>
      <c r="HV779" s="2579" t="str">
        <f t="shared" si="210"/>
        <v/>
      </c>
      <c r="HW779" s="2579" t="str">
        <f t="shared" si="211"/>
        <v/>
      </c>
      <c r="HX779" s="2579" t="str">
        <f t="shared" si="212"/>
        <v/>
      </c>
      <c r="HY779" s="2579" t="str">
        <f t="shared" si="213"/>
        <v/>
      </c>
      <c r="HZ779" s="2579" t="str">
        <f t="shared" si="214"/>
        <v/>
      </c>
      <c r="IA779" s="2579" t="str">
        <f t="shared" si="215"/>
        <v/>
      </c>
      <c r="IB779" s="2579" t="str">
        <f t="shared" si="216"/>
        <v/>
      </c>
      <c r="IC779" s="2579" t="str">
        <f t="shared" si="217"/>
        <v/>
      </c>
      <c r="ID779" s="2551" t="str">
        <f t="shared" si="218"/>
        <v/>
      </c>
      <c r="IE779" s="2551" t="str">
        <f t="shared" si="219"/>
        <v/>
      </c>
      <c r="IF779" s="2551" t="str">
        <f t="shared" si="220"/>
        <v/>
      </c>
      <c r="IG779" s="2551" t="str">
        <f t="shared" si="221"/>
        <v/>
      </c>
      <c r="IH779" s="2551"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2549">
        <f t="shared" si="243"/>
        <v>0</v>
      </c>
      <c r="JD779" s="2549">
        <f t="shared" si="244"/>
        <v>0</v>
      </c>
      <c r="JE779" s="2549">
        <f t="shared" si="245"/>
        <v>0</v>
      </c>
      <c r="JF779" s="2549">
        <f t="shared" si="246"/>
        <v>0</v>
      </c>
      <c r="JG779" s="2549">
        <f t="shared" si="247"/>
        <v>0</v>
      </c>
      <c r="JH779" s="2549">
        <f t="shared" si="248"/>
        <v>0</v>
      </c>
      <c r="JI779" s="2549">
        <f t="shared" si="249"/>
        <v>0</v>
      </c>
      <c r="JJ779" s="2549">
        <f t="shared" si="250"/>
        <v>0</v>
      </c>
      <c r="JK779" s="2549">
        <f t="shared" si="251"/>
        <v>0</v>
      </c>
      <c r="JL779" s="2549">
        <f t="shared" si="252"/>
        <v>0</v>
      </c>
      <c r="JM779" s="2549">
        <f t="shared" si="253"/>
        <v>0</v>
      </c>
      <c r="JN779" s="2549">
        <f t="shared" si="254"/>
        <v>0</v>
      </c>
      <c r="JO779" s="2549">
        <f t="shared" si="255"/>
        <v>0</v>
      </c>
      <c r="JP779" s="2549">
        <f t="shared" si="256"/>
        <v>0</v>
      </c>
      <c r="JQ779" s="2549">
        <f t="shared" si="257"/>
        <v>0</v>
      </c>
    </row>
    <row r="780" spans="1:277" ht="12" customHeight="1">
      <c r="A780" s="2562" t="str">
        <f t="shared" si="0"/>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1"/>
        <v>0</v>
      </c>
      <c r="L780" s="2576">
        <f t="shared" si="2"/>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2579" t="str">
        <f t="shared" si="133"/>
        <v/>
      </c>
      <c r="EX780" s="2579" t="str">
        <f t="shared" si="134"/>
        <v/>
      </c>
      <c r="EY780" s="2579" t="str">
        <f t="shared" si="135"/>
        <v/>
      </c>
      <c r="EZ780" s="2579" t="str">
        <f t="shared" si="136"/>
        <v/>
      </c>
      <c r="FA780" s="2579" t="str">
        <f t="shared" si="137"/>
        <v/>
      </c>
      <c r="FB780" s="2579" t="str">
        <f t="shared" si="138"/>
        <v/>
      </c>
      <c r="FC780" s="2579" t="str">
        <f t="shared" si="139"/>
        <v/>
      </c>
      <c r="FD780" s="2579" t="str">
        <f t="shared" si="140"/>
        <v/>
      </c>
      <c r="FE780" s="2579" t="str">
        <f t="shared" si="141"/>
        <v/>
      </c>
      <c r="FF780" s="2579" t="str">
        <f t="shared" si="142"/>
        <v/>
      </c>
      <c r="FG780" s="2579" t="str">
        <f t="shared" si="143"/>
        <v/>
      </c>
      <c r="FH780" s="2579" t="str">
        <f t="shared" si="144"/>
        <v/>
      </c>
      <c r="FI780" s="2579" t="str">
        <f t="shared" si="145"/>
        <v/>
      </c>
      <c r="FJ780" s="2579" t="str">
        <f t="shared" si="146"/>
        <v/>
      </c>
      <c r="FK780" s="2579" t="str">
        <f t="shared" si="147"/>
        <v/>
      </c>
      <c r="FL780" s="2579" t="str">
        <f t="shared" si="148"/>
        <v/>
      </c>
      <c r="FM780" s="2579" t="str">
        <f t="shared" si="149"/>
        <v/>
      </c>
      <c r="FN780" s="2579" t="str">
        <f t="shared" si="150"/>
        <v/>
      </c>
      <c r="FO780" s="2579" t="str">
        <f t="shared" si="151"/>
        <v/>
      </c>
      <c r="FP780" s="2579" t="str">
        <f t="shared" si="152"/>
        <v/>
      </c>
      <c r="FQ780" s="2579" t="str">
        <f t="shared" si="153"/>
        <v/>
      </c>
      <c r="FR780" s="2579" t="str">
        <f t="shared" si="154"/>
        <v/>
      </c>
      <c r="FS780" s="2579" t="str">
        <f t="shared" si="155"/>
        <v/>
      </c>
      <c r="FT780" s="2579" t="str">
        <f t="shared" si="156"/>
        <v/>
      </c>
      <c r="FU780" s="2579" t="str">
        <f t="shared" si="157"/>
        <v/>
      </c>
      <c r="FV780" s="2579" t="str">
        <f t="shared" si="158"/>
        <v/>
      </c>
      <c r="FW780" s="2579" t="str">
        <f t="shared" si="159"/>
        <v/>
      </c>
      <c r="FX780" s="2579" t="str">
        <f t="shared" si="160"/>
        <v/>
      </c>
      <c r="FY780" s="2579" t="str">
        <f t="shared" si="161"/>
        <v/>
      </c>
      <c r="FZ780" s="2579" t="str">
        <f t="shared" si="162"/>
        <v/>
      </c>
      <c r="GA780" s="2579" t="str">
        <f t="shared" si="163"/>
        <v/>
      </c>
      <c r="GB780" s="2579" t="str">
        <f t="shared" si="164"/>
        <v/>
      </c>
      <c r="GC780" s="2579" t="str">
        <f t="shared" si="165"/>
        <v/>
      </c>
      <c r="GD780" s="2579" t="str">
        <f t="shared" si="166"/>
        <v/>
      </c>
      <c r="GE780" s="2579" t="str">
        <f t="shared" si="167"/>
        <v/>
      </c>
      <c r="GF780" s="2579" t="str">
        <f t="shared" si="168"/>
        <v/>
      </c>
      <c r="GG780" s="2579" t="str">
        <f t="shared" si="169"/>
        <v/>
      </c>
      <c r="GH780" s="2579" t="str">
        <f t="shared" si="170"/>
        <v/>
      </c>
      <c r="GI780" s="2579" t="str">
        <f t="shared" si="171"/>
        <v/>
      </c>
      <c r="GJ780" s="2579" t="str">
        <f t="shared" si="172"/>
        <v/>
      </c>
      <c r="GK780" s="2579" t="str">
        <f t="shared" si="173"/>
        <v/>
      </c>
      <c r="GL780" s="2579" t="str">
        <f t="shared" si="174"/>
        <v/>
      </c>
      <c r="GM780" s="2579" t="str">
        <f t="shared" si="175"/>
        <v/>
      </c>
      <c r="GN780" s="2579" t="str">
        <f t="shared" si="176"/>
        <v/>
      </c>
      <c r="GO780" s="2579" t="str">
        <f t="shared" si="177"/>
        <v/>
      </c>
      <c r="GP780" s="2579" t="str">
        <f t="shared" si="178"/>
        <v/>
      </c>
      <c r="GQ780" s="2579" t="str">
        <f t="shared" si="179"/>
        <v/>
      </c>
      <c r="GR780" s="2579" t="str">
        <f t="shared" si="180"/>
        <v/>
      </c>
      <c r="GS780" s="2579" t="str">
        <f t="shared" si="181"/>
        <v/>
      </c>
      <c r="GT780" s="2579" t="str">
        <f t="shared" si="182"/>
        <v/>
      </c>
      <c r="GU780" s="2579" t="str">
        <f t="shared" si="183"/>
        <v/>
      </c>
      <c r="GV780" s="2579" t="str">
        <f t="shared" si="184"/>
        <v/>
      </c>
      <c r="GW780" s="2579" t="str">
        <f t="shared" si="185"/>
        <v/>
      </c>
      <c r="GX780" s="2579" t="str">
        <f t="shared" si="186"/>
        <v/>
      </c>
      <c r="GY780" s="2579" t="str">
        <f t="shared" si="187"/>
        <v/>
      </c>
      <c r="GZ780" s="2579" t="str">
        <f t="shared" si="188"/>
        <v/>
      </c>
      <c r="HA780" s="2579" t="str">
        <f t="shared" si="189"/>
        <v/>
      </c>
      <c r="HB780" s="2579" t="str">
        <f t="shared" si="190"/>
        <v/>
      </c>
      <c r="HC780" s="2579" t="str">
        <f t="shared" si="191"/>
        <v/>
      </c>
      <c r="HD780" s="2579" t="str">
        <f t="shared" si="192"/>
        <v/>
      </c>
      <c r="HE780" s="2579" t="str">
        <f t="shared" si="193"/>
        <v/>
      </c>
      <c r="HF780" s="2579" t="str">
        <f t="shared" si="194"/>
        <v/>
      </c>
      <c r="HG780" s="2579" t="str">
        <f t="shared" si="195"/>
        <v/>
      </c>
      <c r="HH780" s="2579" t="str">
        <f t="shared" si="196"/>
        <v/>
      </c>
      <c r="HI780" s="2579" t="str">
        <f t="shared" si="197"/>
        <v/>
      </c>
      <c r="HJ780" s="2579" t="str">
        <f t="shared" si="198"/>
        <v/>
      </c>
      <c r="HK780" s="2579" t="str">
        <f t="shared" si="199"/>
        <v/>
      </c>
      <c r="HL780" s="2579" t="str">
        <f t="shared" si="200"/>
        <v/>
      </c>
      <c r="HM780" s="2579" t="str">
        <f t="shared" si="201"/>
        <v/>
      </c>
      <c r="HN780" s="2579" t="str">
        <f t="shared" si="202"/>
        <v/>
      </c>
      <c r="HO780" s="2579" t="str">
        <f t="shared" si="203"/>
        <v/>
      </c>
      <c r="HP780" s="2579" t="str">
        <f t="shared" si="204"/>
        <v/>
      </c>
      <c r="HQ780" s="2579" t="str">
        <f t="shared" si="205"/>
        <v/>
      </c>
      <c r="HR780" s="2579" t="str">
        <f t="shared" si="206"/>
        <v/>
      </c>
      <c r="HS780" s="2579" t="str">
        <f t="shared" si="207"/>
        <v/>
      </c>
      <c r="HT780" s="2579" t="str">
        <f t="shared" si="208"/>
        <v/>
      </c>
      <c r="HU780" s="2579" t="str">
        <f t="shared" si="209"/>
        <v/>
      </c>
      <c r="HV780" s="2579" t="str">
        <f t="shared" si="210"/>
        <v/>
      </c>
      <c r="HW780" s="2579" t="str">
        <f t="shared" si="211"/>
        <v/>
      </c>
      <c r="HX780" s="2579" t="str">
        <f t="shared" si="212"/>
        <v/>
      </c>
      <c r="HY780" s="2579" t="str">
        <f t="shared" si="213"/>
        <v/>
      </c>
      <c r="HZ780" s="2579" t="str">
        <f t="shared" si="214"/>
        <v/>
      </c>
      <c r="IA780" s="2579" t="str">
        <f t="shared" si="215"/>
        <v/>
      </c>
      <c r="IB780" s="2579" t="str">
        <f t="shared" si="216"/>
        <v/>
      </c>
      <c r="IC780" s="2579" t="str">
        <f t="shared" si="217"/>
        <v/>
      </c>
      <c r="ID780" s="2551" t="str">
        <f t="shared" si="218"/>
        <v/>
      </c>
      <c r="IE780" s="2551" t="str">
        <f t="shared" si="219"/>
        <v/>
      </c>
      <c r="IF780" s="2551" t="str">
        <f t="shared" si="220"/>
        <v/>
      </c>
      <c r="IG780" s="2551" t="str">
        <f t="shared" si="221"/>
        <v/>
      </c>
      <c r="IH780" s="2551"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2549">
        <f t="shared" si="243"/>
        <v>0</v>
      </c>
      <c r="JD780" s="2549">
        <f t="shared" si="244"/>
        <v>0</v>
      </c>
      <c r="JE780" s="2549">
        <f t="shared" si="245"/>
        <v>0</v>
      </c>
      <c r="JF780" s="2549">
        <f t="shared" si="246"/>
        <v>0</v>
      </c>
      <c r="JG780" s="2549">
        <f t="shared" si="247"/>
        <v>0</v>
      </c>
      <c r="JH780" s="2549">
        <f t="shared" si="248"/>
        <v>0</v>
      </c>
      <c r="JI780" s="2549">
        <f t="shared" si="249"/>
        <v>0</v>
      </c>
      <c r="JJ780" s="2549">
        <f t="shared" si="250"/>
        <v>0</v>
      </c>
      <c r="JK780" s="2549">
        <f t="shared" si="251"/>
        <v>0</v>
      </c>
      <c r="JL780" s="2549">
        <f t="shared" si="252"/>
        <v>0</v>
      </c>
      <c r="JM780" s="2549">
        <f t="shared" si="253"/>
        <v>0</v>
      </c>
      <c r="JN780" s="2549">
        <f t="shared" si="254"/>
        <v>0</v>
      </c>
      <c r="JO780" s="2549">
        <f t="shared" si="255"/>
        <v>0</v>
      </c>
      <c r="JP780" s="2549">
        <f t="shared" si="256"/>
        <v>0</v>
      </c>
      <c r="JQ780" s="2549">
        <f t="shared" si="257"/>
        <v>0</v>
      </c>
    </row>
    <row r="781" spans="1:277" ht="12" customHeight="1">
      <c r="A781" s="2562" t="str">
        <f t="shared" si="0"/>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1"/>
        <v>0</v>
      </c>
      <c r="L781" s="2576">
        <f t="shared" si="2"/>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2579" t="str">
        <f t="shared" si="133"/>
        <v/>
      </c>
      <c r="EX781" s="2579" t="str">
        <f t="shared" si="134"/>
        <v/>
      </c>
      <c r="EY781" s="2579" t="str">
        <f t="shared" si="135"/>
        <v/>
      </c>
      <c r="EZ781" s="2579" t="str">
        <f t="shared" si="136"/>
        <v/>
      </c>
      <c r="FA781" s="2579" t="str">
        <f t="shared" si="137"/>
        <v/>
      </c>
      <c r="FB781" s="2579" t="str">
        <f t="shared" si="138"/>
        <v/>
      </c>
      <c r="FC781" s="2579" t="str">
        <f t="shared" si="139"/>
        <v/>
      </c>
      <c r="FD781" s="2579" t="str">
        <f t="shared" si="140"/>
        <v/>
      </c>
      <c r="FE781" s="2579" t="str">
        <f t="shared" si="141"/>
        <v/>
      </c>
      <c r="FF781" s="2579" t="str">
        <f t="shared" si="142"/>
        <v/>
      </c>
      <c r="FG781" s="2579" t="str">
        <f t="shared" si="143"/>
        <v/>
      </c>
      <c r="FH781" s="2579" t="str">
        <f t="shared" si="144"/>
        <v/>
      </c>
      <c r="FI781" s="2579" t="str">
        <f t="shared" si="145"/>
        <v/>
      </c>
      <c r="FJ781" s="2579" t="str">
        <f t="shared" si="146"/>
        <v/>
      </c>
      <c r="FK781" s="2579" t="str">
        <f t="shared" si="147"/>
        <v/>
      </c>
      <c r="FL781" s="2579" t="str">
        <f t="shared" si="148"/>
        <v/>
      </c>
      <c r="FM781" s="2579" t="str">
        <f t="shared" si="149"/>
        <v/>
      </c>
      <c r="FN781" s="2579" t="str">
        <f t="shared" si="150"/>
        <v/>
      </c>
      <c r="FO781" s="2579" t="str">
        <f t="shared" si="151"/>
        <v/>
      </c>
      <c r="FP781" s="2579" t="str">
        <f t="shared" si="152"/>
        <v/>
      </c>
      <c r="FQ781" s="2579" t="str">
        <f t="shared" si="153"/>
        <v/>
      </c>
      <c r="FR781" s="2579" t="str">
        <f t="shared" si="154"/>
        <v/>
      </c>
      <c r="FS781" s="2579" t="str">
        <f t="shared" si="155"/>
        <v/>
      </c>
      <c r="FT781" s="2579" t="str">
        <f t="shared" si="156"/>
        <v/>
      </c>
      <c r="FU781" s="2579" t="str">
        <f t="shared" si="157"/>
        <v/>
      </c>
      <c r="FV781" s="2579" t="str">
        <f t="shared" si="158"/>
        <v/>
      </c>
      <c r="FW781" s="2579" t="str">
        <f t="shared" si="159"/>
        <v/>
      </c>
      <c r="FX781" s="2579" t="str">
        <f t="shared" si="160"/>
        <v/>
      </c>
      <c r="FY781" s="2579" t="str">
        <f t="shared" si="161"/>
        <v/>
      </c>
      <c r="FZ781" s="2579" t="str">
        <f t="shared" si="162"/>
        <v/>
      </c>
      <c r="GA781" s="2579" t="str">
        <f t="shared" si="163"/>
        <v/>
      </c>
      <c r="GB781" s="2579" t="str">
        <f t="shared" si="164"/>
        <v/>
      </c>
      <c r="GC781" s="2579" t="str">
        <f t="shared" si="165"/>
        <v/>
      </c>
      <c r="GD781" s="2579" t="str">
        <f t="shared" si="166"/>
        <v/>
      </c>
      <c r="GE781" s="2579" t="str">
        <f t="shared" si="167"/>
        <v/>
      </c>
      <c r="GF781" s="2579" t="str">
        <f t="shared" si="168"/>
        <v/>
      </c>
      <c r="GG781" s="2579" t="str">
        <f t="shared" si="169"/>
        <v/>
      </c>
      <c r="GH781" s="2579" t="str">
        <f t="shared" si="170"/>
        <v/>
      </c>
      <c r="GI781" s="2579" t="str">
        <f t="shared" si="171"/>
        <v/>
      </c>
      <c r="GJ781" s="2579" t="str">
        <f t="shared" si="172"/>
        <v/>
      </c>
      <c r="GK781" s="2579" t="str">
        <f t="shared" si="173"/>
        <v/>
      </c>
      <c r="GL781" s="2579" t="str">
        <f t="shared" si="174"/>
        <v/>
      </c>
      <c r="GM781" s="2579" t="str">
        <f t="shared" si="175"/>
        <v/>
      </c>
      <c r="GN781" s="2579" t="str">
        <f t="shared" si="176"/>
        <v/>
      </c>
      <c r="GO781" s="2579" t="str">
        <f t="shared" si="177"/>
        <v/>
      </c>
      <c r="GP781" s="2579" t="str">
        <f t="shared" si="178"/>
        <v/>
      </c>
      <c r="GQ781" s="2579" t="str">
        <f t="shared" si="179"/>
        <v/>
      </c>
      <c r="GR781" s="2579" t="str">
        <f t="shared" si="180"/>
        <v/>
      </c>
      <c r="GS781" s="2579" t="str">
        <f t="shared" si="181"/>
        <v/>
      </c>
      <c r="GT781" s="2579" t="str">
        <f t="shared" si="182"/>
        <v/>
      </c>
      <c r="GU781" s="2579" t="str">
        <f t="shared" si="183"/>
        <v/>
      </c>
      <c r="GV781" s="2579" t="str">
        <f t="shared" si="184"/>
        <v/>
      </c>
      <c r="GW781" s="2579" t="str">
        <f t="shared" si="185"/>
        <v/>
      </c>
      <c r="GX781" s="2579" t="str">
        <f t="shared" si="186"/>
        <v/>
      </c>
      <c r="GY781" s="2579" t="str">
        <f t="shared" si="187"/>
        <v/>
      </c>
      <c r="GZ781" s="2579" t="str">
        <f t="shared" si="188"/>
        <v/>
      </c>
      <c r="HA781" s="2579" t="str">
        <f t="shared" si="189"/>
        <v/>
      </c>
      <c r="HB781" s="2579" t="str">
        <f t="shared" si="190"/>
        <v/>
      </c>
      <c r="HC781" s="2579" t="str">
        <f t="shared" si="191"/>
        <v/>
      </c>
      <c r="HD781" s="2579" t="str">
        <f t="shared" si="192"/>
        <v/>
      </c>
      <c r="HE781" s="2579" t="str">
        <f t="shared" si="193"/>
        <v/>
      </c>
      <c r="HF781" s="2579" t="str">
        <f t="shared" si="194"/>
        <v/>
      </c>
      <c r="HG781" s="2579" t="str">
        <f t="shared" si="195"/>
        <v/>
      </c>
      <c r="HH781" s="2579" t="str">
        <f t="shared" si="196"/>
        <v/>
      </c>
      <c r="HI781" s="2579" t="str">
        <f t="shared" si="197"/>
        <v/>
      </c>
      <c r="HJ781" s="2579" t="str">
        <f t="shared" si="198"/>
        <v/>
      </c>
      <c r="HK781" s="2579" t="str">
        <f t="shared" si="199"/>
        <v/>
      </c>
      <c r="HL781" s="2579" t="str">
        <f t="shared" si="200"/>
        <v/>
      </c>
      <c r="HM781" s="2579" t="str">
        <f t="shared" si="201"/>
        <v/>
      </c>
      <c r="HN781" s="2579" t="str">
        <f t="shared" si="202"/>
        <v/>
      </c>
      <c r="HO781" s="2579" t="str">
        <f t="shared" si="203"/>
        <v/>
      </c>
      <c r="HP781" s="2579" t="str">
        <f t="shared" si="204"/>
        <v/>
      </c>
      <c r="HQ781" s="2579" t="str">
        <f t="shared" si="205"/>
        <v/>
      </c>
      <c r="HR781" s="2579" t="str">
        <f t="shared" si="206"/>
        <v/>
      </c>
      <c r="HS781" s="2579" t="str">
        <f t="shared" si="207"/>
        <v/>
      </c>
      <c r="HT781" s="2579" t="str">
        <f t="shared" si="208"/>
        <v/>
      </c>
      <c r="HU781" s="2579" t="str">
        <f t="shared" si="209"/>
        <v/>
      </c>
      <c r="HV781" s="2579" t="str">
        <f t="shared" si="210"/>
        <v/>
      </c>
      <c r="HW781" s="2579" t="str">
        <f t="shared" si="211"/>
        <v/>
      </c>
      <c r="HX781" s="2579" t="str">
        <f t="shared" si="212"/>
        <v/>
      </c>
      <c r="HY781" s="2579" t="str">
        <f t="shared" si="213"/>
        <v/>
      </c>
      <c r="HZ781" s="2579" t="str">
        <f t="shared" si="214"/>
        <v/>
      </c>
      <c r="IA781" s="2579" t="str">
        <f t="shared" si="215"/>
        <v/>
      </c>
      <c r="IB781" s="2579" t="str">
        <f t="shared" si="216"/>
        <v/>
      </c>
      <c r="IC781" s="2579" t="str">
        <f t="shared" si="217"/>
        <v/>
      </c>
      <c r="ID781" s="2551" t="str">
        <f t="shared" si="218"/>
        <v/>
      </c>
      <c r="IE781" s="2551" t="str">
        <f t="shared" si="219"/>
        <v/>
      </c>
      <c r="IF781" s="2551" t="str">
        <f t="shared" si="220"/>
        <v/>
      </c>
      <c r="IG781" s="2551" t="str">
        <f t="shared" si="221"/>
        <v/>
      </c>
      <c r="IH781" s="2551"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2549">
        <f t="shared" si="243"/>
        <v>0</v>
      </c>
      <c r="JD781" s="2549">
        <f t="shared" si="244"/>
        <v>0</v>
      </c>
      <c r="JE781" s="2549">
        <f t="shared" si="245"/>
        <v>0</v>
      </c>
      <c r="JF781" s="2549">
        <f t="shared" si="246"/>
        <v>0</v>
      </c>
      <c r="JG781" s="2549">
        <f t="shared" si="247"/>
        <v>0</v>
      </c>
      <c r="JH781" s="2549">
        <f t="shared" si="248"/>
        <v>0</v>
      </c>
      <c r="JI781" s="2549">
        <f t="shared" si="249"/>
        <v>0</v>
      </c>
      <c r="JJ781" s="2549">
        <f t="shared" si="250"/>
        <v>0</v>
      </c>
      <c r="JK781" s="2549">
        <f t="shared" si="251"/>
        <v>0</v>
      </c>
      <c r="JL781" s="2549">
        <f t="shared" si="252"/>
        <v>0</v>
      </c>
      <c r="JM781" s="2549">
        <f t="shared" si="253"/>
        <v>0</v>
      </c>
      <c r="JN781" s="2549">
        <f t="shared" si="254"/>
        <v>0</v>
      </c>
      <c r="JO781" s="2549">
        <f t="shared" si="255"/>
        <v>0</v>
      </c>
      <c r="JP781" s="2549">
        <f t="shared" si="256"/>
        <v>0</v>
      </c>
      <c r="JQ781" s="2549">
        <f t="shared" si="257"/>
        <v>0</v>
      </c>
    </row>
    <row r="782" spans="1:277" ht="12" customHeight="1">
      <c r="A782" s="2562" t="str">
        <f t="shared" si="0"/>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1"/>
        <v>0</v>
      </c>
      <c r="L782" s="2576">
        <f t="shared" si="2"/>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2579" t="str">
        <f t="shared" si="133"/>
        <v/>
      </c>
      <c r="EX782" s="2579" t="str">
        <f t="shared" si="134"/>
        <v/>
      </c>
      <c r="EY782" s="2579" t="str">
        <f t="shared" si="135"/>
        <v/>
      </c>
      <c r="EZ782" s="2579" t="str">
        <f t="shared" si="136"/>
        <v/>
      </c>
      <c r="FA782" s="2579" t="str">
        <f t="shared" si="137"/>
        <v/>
      </c>
      <c r="FB782" s="2579" t="str">
        <f t="shared" si="138"/>
        <v/>
      </c>
      <c r="FC782" s="2579" t="str">
        <f t="shared" si="139"/>
        <v/>
      </c>
      <c r="FD782" s="2579" t="str">
        <f t="shared" si="140"/>
        <v/>
      </c>
      <c r="FE782" s="2579" t="str">
        <f t="shared" si="141"/>
        <v/>
      </c>
      <c r="FF782" s="2579" t="str">
        <f t="shared" si="142"/>
        <v/>
      </c>
      <c r="FG782" s="2579" t="str">
        <f t="shared" si="143"/>
        <v/>
      </c>
      <c r="FH782" s="2579" t="str">
        <f t="shared" si="144"/>
        <v/>
      </c>
      <c r="FI782" s="2579" t="str">
        <f t="shared" si="145"/>
        <v/>
      </c>
      <c r="FJ782" s="2579" t="str">
        <f t="shared" si="146"/>
        <v/>
      </c>
      <c r="FK782" s="2579" t="str">
        <f t="shared" si="147"/>
        <v/>
      </c>
      <c r="FL782" s="2579" t="str">
        <f t="shared" si="148"/>
        <v/>
      </c>
      <c r="FM782" s="2579" t="str">
        <f t="shared" si="149"/>
        <v/>
      </c>
      <c r="FN782" s="2579" t="str">
        <f t="shared" si="150"/>
        <v/>
      </c>
      <c r="FO782" s="2579" t="str">
        <f t="shared" si="151"/>
        <v/>
      </c>
      <c r="FP782" s="2579" t="str">
        <f t="shared" si="152"/>
        <v/>
      </c>
      <c r="FQ782" s="2579" t="str">
        <f t="shared" si="153"/>
        <v/>
      </c>
      <c r="FR782" s="2579" t="str">
        <f t="shared" si="154"/>
        <v/>
      </c>
      <c r="FS782" s="2579" t="str">
        <f t="shared" si="155"/>
        <v/>
      </c>
      <c r="FT782" s="2579" t="str">
        <f t="shared" si="156"/>
        <v/>
      </c>
      <c r="FU782" s="2579" t="str">
        <f t="shared" si="157"/>
        <v/>
      </c>
      <c r="FV782" s="2579" t="str">
        <f t="shared" si="158"/>
        <v/>
      </c>
      <c r="FW782" s="2579" t="str">
        <f t="shared" si="159"/>
        <v/>
      </c>
      <c r="FX782" s="2579" t="str">
        <f t="shared" si="160"/>
        <v/>
      </c>
      <c r="FY782" s="2579" t="str">
        <f t="shared" si="161"/>
        <v/>
      </c>
      <c r="FZ782" s="2579" t="str">
        <f t="shared" si="162"/>
        <v/>
      </c>
      <c r="GA782" s="2579" t="str">
        <f t="shared" si="163"/>
        <v/>
      </c>
      <c r="GB782" s="2579" t="str">
        <f t="shared" si="164"/>
        <v/>
      </c>
      <c r="GC782" s="2579" t="str">
        <f t="shared" si="165"/>
        <v/>
      </c>
      <c r="GD782" s="2579" t="str">
        <f t="shared" si="166"/>
        <v/>
      </c>
      <c r="GE782" s="2579" t="str">
        <f t="shared" si="167"/>
        <v/>
      </c>
      <c r="GF782" s="2579" t="str">
        <f t="shared" si="168"/>
        <v/>
      </c>
      <c r="GG782" s="2579" t="str">
        <f t="shared" si="169"/>
        <v/>
      </c>
      <c r="GH782" s="2579" t="str">
        <f t="shared" si="170"/>
        <v/>
      </c>
      <c r="GI782" s="2579" t="str">
        <f t="shared" si="171"/>
        <v/>
      </c>
      <c r="GJ782" s="2579" t="str">
        <f t="shared" si="172"/>
        <v/>
      </c>
      <c r="GK782" s="2579" t="str">
        <f t="shared" si="173"/>
        <v/>
      </c>
      <c r="GL782" s="2579" t="str">
        <f t="shared" si="174"/>
        <v/>
      </c>
      <c r="GM782" s="2579" t="str">
        <f t="shared" si="175"/>
        <v/>
      </c>
      <c r="GN782" s="2579" t="str">
        <f t="shared" si="176"/>
        <v/>
      </c>
      <c r="GO782" s="2579" t="str">
        <f t="shared" si="177"/>
        <v/>
      </c>
      <c r="GP782" s="2579" t="str">
        <f t="shared" si="178"/>
        <v/>
      </c>
      <c r="GQ782" s="2579" t="str">
        <f t="shared" si="179"/>
        <v/>
      </c>
      <c r="GR782" s="2579" t="str">
        <f t="shared" si="180"/>
        <v/>
      </c>
      <c r="GS782" s="2579" t="str">
        <f t="shared" si="181"/>
        <v/>
      </c>
      <c r="GT782" s="2579" t="str">
        <f t="shared" si="182"/>
        <v/>
      </c>
      <c r="GU782" s="2579" t="str">
        <f t="shared" si="183"/>
        <v/>
      </c>
      <c r="GV782" s="2579" t="str">
        <f t="shared" si="184"/>
        <v/>
      </c>
      <c r="GW782" s="2579" t="str">
        <f t="shared" si="185"/>
        <v/>
      </c>
      <c r="GX782" s="2579" t="str">
        <f t="shared" si="186"/>
        <v/>
      </c>
      <c r="GY782" s="2579" t="str">
        <f t="shared" si="187"/>
        <v/>
      </c>
      <c r="GZ782" s="2579" t="str">
        <f t="shared" si="188"/>
        <v/>
      </c>
      <c r="HA782" s="2579" t="str">
        <f t="shared" si="189"/>
        <v/>
      </c>
      <c r="HB782" s="2579" t="str">
        <f t="shared" si="190"/>
        <v/>
      </c>
      <c r="HC782" s="2579" t="str">
        <f t="shared" si="191"/>
        <v/>
      </c>
      <c r="HD782" s="2579" t="str">
        <f t="shared" si="192"/>
        <v/>
      </c>
      <c r="HE782" s="2579" t="str">
        <f t="shared" si="193"/>
        <v/>
      </c>
      <c r="HF782" s="2579" t="str">
        <f t="shared" si="194"/>
        <v/>
      </c>
      <c r="HG782" s="2579" t="str">
        <f t="shared" si="195"/>
        <v/>
      </c>
      <c r="HH782" s="2579" t="str">
        <f t="shared" si="196"/>
        <v/>
      </c>
      <c r="HI782" s="2579" t="str">
        <f t="shared" si="197"/>
        <v/>
      </c>
      <c r="HJ782" s="2579" t="str">
        <f t="shared" si="198"/>
        <v/>
      </c>
      <c r="HK782" s="2579" t="str">
        <f t="shared" si="199"/>
        <v/>
      </c>
      <c r="HL782" s="2579" t="str">
        <f t="shared" si="200"/>
        <v/>
      </c>
      <c r="HM782" s="2579" t="str">
        <f t="shared" si="201"/>
        <v/>
      </c>
      <c r="HN782" s="2579" t="str">
        <f t="shared" si="202"/>
        <v/>
      </c>
      <c r="HO782" s="2579" t="str">
        <f t="shared" si="203"/>
        <v/>
      </c>
      <c r="HP782" s="2579" t="str">
        <f t="shared" si="204"/>
        <v/>
      </c>
      <c r="HQ782" s="2579" t="str">
        <f t="shared" si="205"/>
        <v/>
      </c>
      <c r="HR782" s="2579" t="str">
        <f t="shared" si="206"/>
        <v/>
      </c>
      <c r="HS782" s="2579" t="str">
        <f t="shared" si="207"/>
        <v/>
      </c>
      <c r="HT782" s="2579" t="str">
        <f t="shared" si="208"/>
        <v/>
      </c>
      <c r="HU782" s="2579" t="str">
        <f t="shared" si="209"/>
        <v/>
      </c>
      <c r="HV782" s="2579" t="str">
        <f t="shared" si="210"/>
        <v/>
      </c>
      <c r="HW782" s="2579" t="str">
        <f t="shared" si="211"/>
        <v/>
      </c>
      <c r="HX782" s="2579" t="str">
        <f t="shared" si="212"/>
        <v/>
      </c>
      <c r="HY782" s="2579" t="str">
        <f t="shared" si="213"/>
        <v/>
      </c>
      <c r="HZ782" s="2579" t="str">
        <f t="shared" si="214"/>
        <v/>
      </c>
      <c r="IA782" s="2579" t="str">
        <f t="shared" si="215"/>
        <v/>
      </c>
      <c r="IB782" s="2579" t="str">
        <f t="shared" si="216"/>
        <v/>
      </c>
      <c r="IC782" s="2579" t="str">
        <f t="shared" si="217"/>
        <v/>
      </c>
      <c r="ID782" s="2551" t="str">
        <f t="shared" si="218"/>
        <v/>
      </c>
      <c r="IE782" s="2551" t="str">
        <f t="shared" si="219"/>
        <v/>
      </c>
      <c r="IF782" s="2551" t="str">
        <f t="shared" si="220"/>
        <v/>
      </c>
      <c r="IG782" s="2551" t="str">
        <f t="shared" si="221"/>
        <v/>
      </c>
      <c r="IH782" s="2551"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2549">
        <f t="shared" si="243"/>
        <v>0</v>
      </c>
      <c r="JD782" s="2549">
        <f t="shared" si="244"/>
        <v>0</v>
      </c>
      <c r="JE782" s="2549">
        <f t="shared" si="245"/>
        <v>0</v>
      </c>
      <c r="JF782" s="2549">
        <f t="shared" si="246"/>
        <v>0</v>
      </c>
      <c r="JG782" s="2549">
        <f t="shared" si="247"/>
        <v>0</v>
      </c>
      <c r="JH782" s="2549">
        <f t="shared" si="248"/>
        <v>0</v>
      </c>
      <c r="JI782" s="2549">
        <f t="shared" si="249"/>
        <v>0</v>
      </c>
      <c r="JJ782" s="2549">
        <f t="shared" si="250"/>
        <v>0</v>
      </c>
      <c r="JK782" s="2549">
        <f t="shared" si="251"/>
        <v>0</v>
      </c>
      <c r="JL782" s="2549">
        <f t="shared" si="252"/>
        <v>0</v>
      </c>
      <c r="JM782" s="2549">
        <f t="shared" si="253"/>
        <v>0</v>
      </c>
      <c r="JN782" s="2549">
        <f t="shared" si="254"/>
        <v>0</v>
      </c>
      <c r="JO782" s="2549">
        <f t="shared" si="255"/>
        <v>0</v>
      </c>
      <c r="JP782" s="2549">
        <f t="shared" si="256"/>
        <v>0</v>
      </c>
      <c r="JQ782" s="2549">
        <f t="shared" si="257"/>
        <v>0</v>
      </c>
    </row>
    <row r="783" spans="1:277" ht="12" customHeight="1">
      <c r="A783" s="2562" t="str">
        <f t="shared" si="0"/>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1"/>
        <v>0</v>
      </c>
      <c r="L783" s="2576">
        <f t="shared" si="2"/>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2579" t="str">
        <f t="shared" si="133"/>
        <v/>
      </c>
      <c r="EX783" s="2579" t="str">
        <f t="shared" si="134"/>
        <v/>
      </c>
      <c r="EY783" s="2579" t="str">
        <f t="shared" si="135"/>
        <v/>
      </c>
      <c r="EZ783" s="2579" t="str">
        <f t="shared" si="136"/>
        <v/>
      </c>
      <c r="FA783" s="2579" t="str">
        <f t="shared" si="137"/>
        <v/>
      </c>
      <c r="FB783" s="2579" t="str">
        <f t="shared" si="138"/>
        <v/>
      </c>
      <c r="FC783" s="2579" t="str">
        <f t="shared" si="139"/>
        <v/>
      </c>
      <c r="FD783" s="2579" t="str">
        <f t="shared" si="140"/>
        <v/>
      </c>
      <c r="FE783" s="2579" t="str">
        <f t="shared" si="141"/>
        <v/>
      </c>
      <c r="FF783" s="2579" t="str">
        <f t="shared" si="142"/>
        <v/>
      </c>
      <c r="FG783" s="2579" t="str">
        <f t="shared" si="143"/>
        <v/>
      </c>
      <c r="FH783" s="2579" t="str">
        <f t="shared" si="144"/>
        <v/>
      </c>
      <c r="FI783" s="2579" t="str">
        <f t="shared" si="145"/>
        <v/>
      </c>
      <c r="FJ783" s="2579" t="str">
        <f t="shared" si="146"/>
        <v/>
      </c>
      <c r="FK783" s="2579" t="str">
        <f t="shared" si="147"/>
        <v/>
      </c>
      <c r="FL783" s="2579" t="str">
        <f t="shared" si="148"/>
        <v/>
      </c>
      <c r="FM783" s="2579" t="str">
        <f t="shared" si="149"/>
        <v/>
      </c>
      <c r="FN783" s="2579" t="str">
        <f t="shared" si="150"/>
        <v/>
      </c>
      <c r="FO783" s="2579" t="str">
        <f t="shared" si="151"/>
        <v/>
      </c>
      <c r="FP783" s="2579" t="str">
        <f t="shared" si="152"/>
        <v/>
      </c>
      <c r="FQ783" s="2579" t="str">
        <f t="shared" si="153"/>
        <v/>
      </c>
      <c r="FR783" s="2579" t="str">
        <f t="shared" si="154"/>
        <v/>
      </c>
      <c r="FS783" s="2579" t="str">
        <f t="shared" si="155"/>
        <v/>
      </c>
      <c r="FT783" s="2579" t="str">
        <f t="shared" si="156"/>
        <v/>
      </c>
      <c r="FU783" s="2579" t="str">
        <f t="shared" si="157"/>
        <v/>
      </c>
      <c r="FV783" s="2579" t="str">
        <f t="shared" si="158"/>
        <v/>
      </c>
      <c r="FW783" s="2579" t="str">
        <f t="shared" si="159"/>
        <v/>
      </c>
      <c r="FX783" s="2579" t="str">
        <f t="shared" si="160"/>
        <v/>
      </c>
      <c r="FY783" s="2579" t="str">
        <f t="shared" si="161"/>
        <v/>
      </c>
      <c r="FZ783" s="2579" t="str">
        <f t="shared" si="162"/>
        <v/>
      </c>
      <c r="GA783" s="2579" t="str">
        <f t="shared" si="163"/>
        <v/>
      </c>
      <c r="GB783" s="2579" t="str">
        <f t="shared" si="164"/>
        <v/>
      </c>
      <c r="GC783" s="2579" t="str">
        <f t="shared" si="165"/>
        <v/>
      </c>
      <c r="GD783" s="2579" t="str">
        <f t="shared" si="166"/>
        <v/>
      </c>
      <c r="GE783" s="2579" t="str">
        <f t="shared" si="167"/>
        <v/>
      </c>
      <c r="GF783" s="2579" t="str">
        <f t="shared" si="168"/>
        <v/>
      </c>
      <c r="GG783" s="2579" t="str">
        <f t="shared" si="169"/>
        <v/>
      </c>
      <c r="GH783" s="2579" t="str">
        <f t="shared" si="170"/>
        <v/>
      </c>
      <c r="GI783" s="2579" t="str">
        <f t="shared" si="171"/>
        <v/>
      </c>
      <c r="GJ783" s="2579" t="str">
        <f t="shared" si="172"/>
        <v/>
      </c>
      <c r="GK783" s="2579" t="str">
        <f t="shared" si="173"/>
        <v/>
      </c>
      <c r="GL783" s="2579" t="str">
        <f t="shared" si="174"/>
        <v/>
      </c>
      <c r="GM783" s="2579" t="str">
        <f t="shared" si="175"/>
        <v/>
      </c>
      <c r="GN783" s="2579" t="str">
        <f t="shared" si="176"/>
        <v/>
      </c>
      <c r="GO783" s="2579" t="str">
        <f t="shared" si="177"/>
        <v/>
      </c>
      <c r="GP783" s="2579" t="str">
        <f t="shared" si="178"/>
        <v/>
      </c>
      <c r="GQ783" s="2579" t="str">
        <f t="shared" si="179"/>
        <v/>
      </c>
      <c r="GR783" s="2579" t="str">
        <f t="shared" si="180"/>
        <v/>
      </c>
      <c r="GS783" s="2579" t="str">
        <f t="shared" si="181"/>
        <v/>
      </c>
      <c r="GT783" s="2579" t="str">
        <f t="shared" si="182"/>
        <v/>
      </c>
      <c r="GU783" s="2579" t="str">
        <f t="shared" si="183"/>
        <v/>
      </c>
      <c r="GV783" s="2579" t="str">
        <f t="shared" si="184"/>
        <v/>
      </c>
      <c r="GW783" s="2579" t="str">
        <f t="shared" si="185"/>
        <v/>
      </c>
      <c r="GX783" s="2579" t="str">
        <f t="shared" si="186"/>
        <v/>
      </c>
      <c r="GY783" s="2579" t="str">
        <f t="shared" si="187"/>
        <v/>
      </c>
      <c r="GZ783" s="2579" t="str">
        <f t="shared" si="188"/>
        <v/>
      </c>
      <c r="HA783" s="2579" t="str">
        <f t="shared" si="189"/>
        <v/>
      </c>
      <c r="HB783" s="2579" t="str">
        <f t="shared" si="190"/>
        <v/>
      </c>
      <c r="HC783" s="2579" t="str">
        <f t="shared" si="191"/>
        <v/>
      </c>
      <c r="HD783" s="2579" t="str">
        <f t="shared" si="192"/>
        <v/>
      </c>
      <c r="HE783" s="2579" t="str">
        <f t="shared" si="193"/>
        <v/>
      </c>
      <c r="HF783" s="2579" t="str">
        <f t="shared" si="194"/>
        <v/>
      </c>
      <c r="HG783" s="2579" t="str">
        <f t="shared" si="195"/>
        <v/>
      </c>
      <c r="HH783" s="2579" t="str">
        <f t="shared" si="196"/>
        <v/>
      </c>
      <c r="HI783" s="2579" t="str">
        <f t="shared" si="197"/>
        <v/>
      </c>
      <c r="HJ783" s="2579" t="str">
        <f t="shared" si="198"/>
        <v/>
      </c>
      <c r="HK783" s="2579" t="str">
        <f t="shared" si="199"/>
        <v/>
      </c>
      <c r="HL783" s="2579" t="str">
        <f t="shared" si="200"/>
        <v/>
      </c>
      <c r="HM783" s="2579" t="str">
        <f t="shared" si="201"/>
        <v/>
      </c>
      <c r="HN783" s="2579" t="str">
        <f t="shared" si="202"/>
        <v/>
      </c>
      <c r="HO783" s="2579" t="str">
        <f t="shared" si="203"/>
        <v/>
      </c>
      <c r="HP783" s="2579" t="str">
        <f t="shared" si="204"/>
        <v/>
      </c>
      <c r="HQ783" s="2579" t="str">
        <f t="shared" si="205"/>
        <v/>
      </c>
      <c r="HR783" s="2579" t="str">
        <f t="shared" si="206"/>
        <v/>
      </c>
      <c r="HS783" s="2579" t="str">
        <f t="shared" si="207"/>
        <v/>
      </c>
      <c r="HT783" s="2579" t="str">
        <f t="shared" si="208"/>
        <v/>
      </c>
      <c r="HU783" s="2579" t="str">
        <f t="shared" si="209"/>
        <v/>
      </c>
      <c r="HV783" s="2579" t="str">
        <f t="shared" si="210"/>
        <v/>
      </c>
      <c r="HW783" s="2579" t="str">
        <f t="shared" si="211"/>
        <v/>
      </c>
      <c r="HX783" s="2579" t="str">
        <f t="shared" si="212"/>
        <v/>
      </c>
      <c r="HY783" s="2579" t="str">
        <f t="shared" si="213"/>
        <v/>
      </c>
      <c r="HZ783" s="2579" t="str">
        <f t="shared" si="214"/>
        <v/>
      </c>
      <c r="IA783" s="2579" t="str">
        <f t="shared" si="215"/>
        <v/>
      </c>
      <c r="IB783" s="2579" t="str">
        <f t="shared" si="216"/>
        <v/>
      </c>
      <c r="IC783" s="2579" t="str">
        <f t="shared" si="217"/>
        <v/>
      </c>
      <c r="ID783" s="2551" t="str">
        <f t="shared" si="218"/>
        <v/>
      </c>
      <c r="IE783" s="2551" t="str">
        <f t="shared" si="219"/>
        <v/>
      </c>
      <c r="IF783" s="2551" t="str">
        <f t="shared" si="220"/>
        <v/>
      </c>
      <c r="IG783" s="2551" t="str">
        <f t="shared" si="221"/>
        <v/>
      </c>
      <c r="IH783" s="2551"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2549">
        <f t="shared" si="243"/>
        <v>0</v>
      </c>
      <c r="JD783" s="2549">
        <f t="shared" si="244"/>
        <v>0</v>
      </c>
      <c r="JE783" s="2549">
        <f t="shared" si="245"/>
        <v>0</v>
      </c>
      <c r="JF783" s="2549">
        <f t="shared" si="246"/>
        <v>0</v>
      </c>
      <c r="JG783" s="2549">
        <f t="shared" si="247"/>
        <v>0</v>
      </c>
      <c r="JH783" s="2549">
        <f t="shared" si="248"/>
        <v>0</v>
      </c>
      <c r="JI783" s="2549">
        <f t="shared" si="249"/>
        <v>0</v>
      </c>
      <c r="JJ783" s="2549">
        <f t="shared" si="250"/>
        <v>0</v>
      </c>
      <c r="JK783" s="2549">
        <f t="shared" si="251"/>
        <v>0</v>
      </c>
      <c r="JL783" s="2549">
        <f t="shared" si="252"/>
        <v>0</v>
      </c>
      <c r="JM783" s="2549">
        <f t="shared" si="253"/>
        <v>0</v>
      </c>
      <c r="JN783" s="2549">
        <f t="shared" si="254"/>
        <v>0</v>
      </c>
      <c r="JO783" s="2549">
        <f t="shared" si="255"/>
        <v>0</v>
      </c>
      <c r="JP783" s="2549">
        <f t="shared" si="256"/>
        <v>0</v>
      </c>
      <c r="JQ783" s="2549">
        <f t="shared" si="257"/>
        <v>0</v>
      </c>
    </row>
    <row r="784" spans="1:277" ht="12" customHeight="1">
      <c r="A784" s="2562" t="str">
        <f t="shared" si="0"/>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1"/>
        <v>0</v>
      </c>
      <c r="L784" s="2576">
        <f t="shared" si="2"/>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2579" t="str">
        <f t="shared" si="133"/>
        <v/>
      </c>
      <c r="EX784" s="2579" t="str">
        <f t="shared" si="134"/>
        <v/>
      </c>
      <c r="EY784" s="2579" t="str">
        <f t="shared" si="135"/>
        <v/>
      </c>
      <c r="EZ784" s="2579" t="str">
        <f t="shared" si="136"/>
        <v/>
      </c>
      <c r="FA784" s="2579" t="str">
        <f t="shared" si="137"/>
        <v/>
      </c>
      <c r="FB784" s="2579" t="str">
        <f t="shared" si="138"/>
        <v/>
      </c>
      <c r="FC784" s="2579" t="str">
        <f t="shared" si="139"/>
        <v/>
      </c>
      <c r="FD784" s="2579" t="str">
        <f t="shared" si="140"/>
        <v/>
      </c>
      <c r="FE784" s="2579" t="str">
        <f t="shared" si="141"/>
        <v/>
      </c>
      <c r="FF784" s="2579" t="str">
        <f t="shared" si="142"/>
        <v/>
      </c>
      <c r="FG784" s="2579" t="str">
        <f t="shared" si="143"/>
        <v/>
      </c>
      <c r="FH784" s="2579" t="str">
        <f t="shared" si="144"/>
        <v/>
      </c>
      <c r="FI784" s="2579" t="str">
        <f t="shared" si="145"/>
        <v/>
      </c>
      <c r="FJ784" s="2579" t="str">
        <f t="shared" si="146"/>
        <v/>
      </c>
      <c r="FK784" s="2579" t="str">
        <f t="shared" si="147"/>
        <v/>
      </c>
      <c r="FL784" s="2579" t="str">
        <f t="shared" si="148"/>
        <v/>
      </c>
      <c r="FM784" s="2579" t="str">
        <f t="shared" si="149"/>
        <v/>
      </c>
      <c r="FN784" s="2579" t="str">
        <f t="shared" si="150"/>
        <v/>
      </c>
      <c r="FO784" s="2579" t="str">
        <f t="shared" si="151"/>
        <v/>
      </c>
      <c r="FP784" s="2579" t="str">
        <f t="shared" si="152"/>
        <v/>
      </c>
      <c r="FQ784" s="2579" t="str">
        <f t="shared" si="153"/>
        <v/>
      </c>
      <c r="FR784" s="2579" t="str">
        <f t="shared" si="154"/>
        <v/>
      </c>
      <c r="FS784" s="2579" t="str">
        <f t="shared" si="155"/>
        <v/>
      </c>
      <c r="FT784" s="2579" t="str">
        <f t="shared" si="156"/>
        <v/>
      </c>
      <c r="FU784" s="2579" t="str">
        <f t="shared" si="157"/>
        <v/>
      </c>
      <c r="FV784" s="2579" t="str">
        <f t="shared" si="158"/>
        <v/>
      </c>
      <c r="FW784" s="2579" t="str">
        <f t="shared" si="159"/>
        <v/>
      </c>
      <c r="FX784" s="2579" t="str">
        <f t="shared" si="160"/>
        <v/>
      </c>
      <c r="FY784" s="2579" t="str">
        <f t="shared" si="161"/>
        <v/>
      </c>
      <c r="FZ784" s="2579" t="str">
        <f t="shared" si="162"/>
        <v/>
      </c>
      <c r="GA784" s="2579" t="str">
        <f t="shared" si="163"/>
        <v/>
      </c>
      <c r="GB784" s="2579" t="str">
        <f t="shared" si="164"/>
        <v/>
      </c>
      <c r="GC784" s="2579" t="str">
        <f t="shared" si="165"/>
        <v/>
      </c>
      <c r="GD784" s="2579" t="str">
        <f t="shared" si="166"/>
        <v/>
      </c>
      <c r="GE784" s="2579" t="str">
        <f t="shared" si="167"/>
        <v/>
      </c>
      <c r="GF784" s="2579" t="str">
        <f t="shared" si="168"/>
        <v/>
      </c>
      <c r="GG784" s="2579" t="str">
        <f t="shared" si="169"/>
        <v/>
      </c>
      <c r="GH784" s="2579" t="str">
        <f t="shared" si="170"/>
        <v/>
      </c>
      <c r="GI784" s="2579" t="str">
        <f t="shared" si="171"/>
        <v/>
      </c>
      <c r="GJ784" s="2579" t="str">
        <f t="shared" si="172"/>
        <v/>
      </c>
      <c r="GK784" s="2579" t="str">
        <f t="shared" si="173"/>
        <v/>
      </c>
      <c r="GL784" s="2579" t="str">
        <f t="shared" si="174"/>
        <v/>
      </c>
      <c r="GM784" s="2579" t="str">
        <f t="shared" si="175"/>
        <v/>
      </c>
      <c r="GN784" s="2579" t="str">
        <f t="shared" si="176"/>
        <v/>
      </c>
      <c r="GO784" s="2579" t="str">
        <f t="shared" si="177"/>
        <v/>
      </c>
      <c r="GP784" s="2579" t="str">
        <f t="shared" si="178"/>
        <v/>
      </c>
      <c r="GQ784" s="2579" t="str">
        <f t="shared" si="179"/>
        <v/>
      </c>
      <c r="GR784" s="2579" t="str">
        <f t="shared" si="180"/>
        <v/>
      </c>
      <c r="GS784" s="2579" t="str">
        <f t="shared" si="181"/>
        <v/>
      </c>
      <c r="GT784" s="2579" t="str">
        <f t="shared" si="182"/>
        <v/>
      </c>
      <c r="GU784" s="2579" t="str">
        <f t="shared" si="183"/>
        <v/>
      </c>
      <c r="GV784" s="2579" t="str">
        <f t="shared" si="184"/>
        <v/>
      </c>
      <c r="GW784" s="2579" t="str">
        <f t="shared" si="185"/>
        <v/>
      </c>
      <c r="GX784" s="2579" t="str">
        <f t="shared" si="186"/>
        <v/>
      </c>
      <c r="GY784" s="2579" t="str">
        <f t="shared" si="187"/>
        <v/>
      </c>
      <c r="GZ784" s="2579" t="str">
        <f t="shared" si="188"/>
        <v/>
      </c>
      <c r="HA784" s="2579" t="str">
        <f t="shared" si="189"/>
        <v/>
      </c>
      <c r="HB784" s="2579" t="str">
        <f t="shared" si="190"/>
        <v/>
      </c>
      <c r="HC784" s="2579" t="str">
        <f t="shared" si="191"/>
        <v/>
      </c>
      <c r="HD784" s="2579" t="str">
        <f t="shared" si="192"/>
        <v/>
      </c>
      <c r="HE784" s="2579" t="str">
        <f t="shared" si="193"/>
        <v/>
      </c>
      <c r="HF784" s="2579" t="str">
        <f t="shared" si="194"/>
        <v/>
      </c>
      <c r="HG784" s="2579" t="str">
        <f t="shared" si="195"/>
        <v/>
      </c>
      <c r="HH784" s="2579" t="str">
        <f t="shared" si="196"/>
        <v/>
      </c>
      <c r="HI784" s="2579" t="str">
        <f t="shared" si="197"/>
        <v/>
      </c>
      <c r="HJ784" s="2579" t="str">
        <f t="shared" si="198"/>
        <v/>
      </c>
      <c r="HK784" s="2579" t="str">
        <f t="shared" si="199"/>
        <v/>
      </c>
      <c r="HL784" s="2579" t="str">
        <f t="shared" si="200"/>
        <v/>
      </c>
      <c r="HM784" s="2579" t="str">
        <f t="shared" si="201"/>
        <v/>
      </c>
      <c r="HN784" s="2579" t="str">
        <f t="shared" si="202"/>
        <v/>
      </c>
      <c r="HO784" s="2579" t="str">
        <f t="shared" si="203"/>
        <v/>
      </c>
      <c r="HP784" s="2579" t="str">
        <f t="shared" si="204"/>
        <v/>
      </c>
      <c r="HQ784" s="2579" t="str">
        <f t="shared" si="205"/>
        <v/>
      </c>
      <c r="HR784" s="2579" t="str">
        <f t="shared" si="206"/>
        <v/>
      </c>
      <c r="HS784" s="2579" t="str">
        <f t="shared" si="207"/>
        <v/>
      </c>
      <c r="HT784" s="2579" t="str">
        <f t="shared" si="208"/>
        <v/>
      </c>
      <c r="HU784" s="2579" t="str">
        <f t="shared" si="209"/>
        <v/>
      </c>
      <c r="HV784" s="2579" t="str">
        <f t="shared" si="210"/>
        <v/>
      </c>
      <c r="HW784" s="2579" t="str">
        <f t="shared" si="211"/>
        <v/>
      </c>
      <c r="HX784" s="2579" t="str">
        <f t="shared" si="212"/>
        <v/>
      </c>
      <c r="HY784" s="2579" t="str">
        <f t="shared" si="213"/>
        <v/>
      </c>
      <c r="HZ784" s="2579" t="str">
        <f t="shared" si="214"/>
        <v/>
      </c>
      <c r="IA784" s="2579" t="str">
        <f t="shared" si="215"/>
        <v/>
      </c>
      <c r="IB784" s="2579" t="str">
        <f t="shared" si="216"/>
        <v/>
      </c>
      <c r="IC784" s="2579" t="str">
        <f t="shared" si="217"/>
        <v/>
      </c>
      <c r="ID784" s="2551" t="str">
        <f t="shared" si="218"/>
        <v/>
      </c>
      <c r="IE784" s="2551" t="str">
        <f t="shared" si="219"/>
        <v/>
      </c>
      <c r="IF784" s="2551" t="str">
        <f t="shared" si="220"/>
        <v/>
      </c>
      <c r="IG784" s="2551" t="str">
        <f t="shared" si="221"/>
        <v/>
      </c>
      <c r="IH784" s="2551"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2549">
        <f t="shared" si="243"/>
        <v>0</v>
      </c>
      <c r="JD784" s="2549">
        <f t="shared" si="244"/>
        <v>0</v>
      </c>
      <c r="JE784" s="2549">
        <f t="shared" si="245"/>
        <v>0</v>
      </c>
      <c r="JF784" s="2549">
        <f t="shared" si="246"/>
        <v>0</v>
      </c>
      <c r="JG784" s="2549">
        <f t="shared" si="247"/>
        <v>0</v>
      </c>
      <c r="JH784" s="2549">
        <f t="shared" si="248"/>
        <v>0</v>
      </c>
      <c r="JI784" s="2549">
        <f t="shared" si="249"/>
        <v>0</v>
      </c>
      <c r="JJ784" s="2549">
        <f t="shared" si="250"/>
        <v>0</v>
      </c>
      <c r="JK784" s="2549">
        <f t="shared" si="251"/>
        <v>0</v>
      </c>
      <c r="JL784" s="2549">
        <f t="shared" si="252"/>
        <v>0</v>
      </c>
      <c r="JM784" s="2549">
        <f t="shared" si="253"/>
        <v>0</v>
      </c>
      <c r="JN784" s="2549">
        <f t="shared" si="254"/>
        <v>0</v>
      </c>
      <c r="JO784" s="2549">
        <f t="shared" si="255"/>
        <v>0</v>
      </c>
      <c r="JP784" s="2549">
        <f t="shared" si="256"/>
        <v>0</v>
      </c>
      <c r="JQ784" s="2549">
        <f t="shared" si="257"/>
        <v>0</v>
      </c>
    </row>
    <row r="785" spans="1:277" ht="12" customHeight="1">
      <c r="A785" s="2562" t="str">
        <f t="shared" si="0"/>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1"/>
        <v>0</v>
      </c>
      <c r="L785" s="2576">
        <f t="shared" si="2"/>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2579" t="str">
        <f t="shared" si="133"/>
        <v/>
      </c>
      <c r="EX785" s="2579" t="str">
        <f t="shared" si="134"/>
        <v/>
      </c>
      <c r="EY785" s="2579" t="str">
        <f t="shared" si="135"/>
        <v/>
      </c>
      <c r="EZ785" s="2579" t="str">
        <f t="shared" si="136"/>
        <v/>
      </c>
      <c r="FA785" s="2579" t="str">
        <f t="shared" si="137"/>
        <v/>
      </c>
      <c r="FB785" s="2579" t="str">
        <f t="shared" si="138"/>
        <v/>
      </c>
      <c r="FC785" s="2579" t="str">
        <f t="shared" si="139"/>
        <v/>
      </c>
      <c r="FD785" s="2579" t="str">
        <f t="shared" si="140"/>
        <v/>
      </c>
      <c r="FE785" s="2579" t="str">
        <f t="shared" si="141"/>
        <v/>
      </c>
      <c r="FF785" s="2579" t="str">
        <f t="shared" si="142"/>
        <v/>
      </c>
      <c r="FG785" s="2579" t="str">
        <f t="shared" si="143"/>
        <v/>
      </c>
      <c r="FH785" s="2579" t="str">
        <f t="shared" si="144"/>
        <v/>
      </c>
      <c r="FI785" s="2579" t="str">
        <f t="shared" si="145"/>
        <v/>
      </c>
      <c r="FJ785" s="2579" t="str">
        <f t="shared" si="146"/>
        <v/>
      </c>
      <c r="FK785" s="2579" t="str">
        <f t="shared" si="147"/>
        <v/>
      </c>
      <c r="FL785" s="2579" t="str">
        <f t="shared" si="148"/>
        <v/>
      </c>
      <c r="FM785" s="2579" t="str">
        <f t="shared" si="149"/>
        <v/>
      </c>
      <c r="FN785" s="2579" t="str">
        <f t="shared" si="150"/>
        <v/>
      </c>
      <c r="FO785" s="2579" t="str">
        <f t="shared" si="151"/>
        <v/>
      </c>
      <c r="FP785" s="2579" t="str">
        <f t="shared" si="152"/>
        <v/>
      </c>
      <c r="FQ785" s="2579" t="str">
        <f t="shared" si="153"/>
        <v/>
      </c>
      <c r="FR785" s="2579" t="str">
        <f t="shared" si="154"/>
        <v/>
      </c>
      <c r="FS785" s="2579" t="str">
        <f t="shared" si="155"/>
        <v/>
      </c>
      <c r="FT785" s="2579" t="str">
        <f t="shared" si="156"/>
        <v/>
      </c>
      <c r="FU785" s="2579" t="str">
        <f t="shared" si="157"/>
        <v/>
      </c>
      <c r="FV785" s="2579" t="str">
        <f t="shared" si="158"/>
        <v/>
      </c>
      <c r="FW785" s="2579" t="str">
        <f t="shared" si="159"/>
        <v/>
      </c>
      <c r="FX785" s="2579" t="str">
        <f t="shared" si="160"/>
        <v/>
      </c>
      <c r="FY785" s="2579" t="str">
        <f t="shared" si="161"/>
        <v/>
      </c>
      <c r="FZ785" s="2579" t="str">
        <f t="shared" si="162"/>
        <v/>
      </c>
      <c r="GA785" s="2579" t="str">
        <f t="shared" si="163"/>
        <v/>
      </c>
      <c r="GB785" s="2579" t="str">
        <f t="shared" si="164"/>
        <v/>
      </c>
      <c r="GC785" s="2579" t="str">
        <f t="shared" si="165"/>
        <v/>
      </c>
      <c r="GD785" s="2579" t="str">
        <f t="shared" si="166"/>
        <v/>
      </c>
      <c r="GE785" s="2579" t="str">
        <f t="shared" si="167"/>
        <v/>
      </c>
      <c r="GF785" s="2579" t="str">
        <f t="shared" si="168"/>
        <v/>
      </c>
      <c r="GG785" s="2579" t="str">
        <f t="shared" si="169"/>
        <v/>
      </c>
      <c r="GH785" s="2579" t="str">
        <f t="shared" si="170"/>
        <v/>
      </c>
      <c r="GI785" s="2579" t="str">
        <f t="shared" si="171"/>
        <v/>
      </c>
      <c r="GJ785" s="2579" t="str">
        <f t="shared" si="172"/>
        <v/>
      </c>
      <c r="GK785" s="2579" t="str">
        <f t="shared" si="173"/>
        <v/>
      </c>
      <c r="GL785" s="2579" t="str">
        <f t="shared" si="174"/>
        <v/>
      </c>
      <c r="GM785" s="2579" t="str">
        <f t="shared" si="175"/>
        <v/>
      </c>
      <c r="GN785" s="2579" t="str">
        <f t="shared" si="176"/>
        <v/>
      </c>
      <c r="GO785" s="2579" t="str">
        <f t="shared" si="177"/>
        <v/>
      </c>
      <c r="GP785" s="2579" t="str">
        <f t="shared" si="178"/>
        <v/>
      </c>
      <c r="GQ785" s="2579" t="str">
        <f t="shared" si="179"/>
        <v/>
      </c>
      <c r="GR785" s="2579" t="str">
        <f t="shared" si="180"/>
        <v/>
      </c>
      <c r="GS785" s="2579" t="str">
        <f t="shared" si="181"/>
        <v/>
      </c>
      <c r="GT785" s="2579" t="str">
        <f t="shared" si="182"/>
        <v/>
      </c>
      <c r="GU785" s="2579" t="str">
        <f t="shared" si="183"/>
        <v/>
      </c>
      <c r="GV785" s="2579" t="str">
        <f t="shared" si="184"/>
        <v/>
      </c>
      <c r="GW785" s="2579" t="str">
        <f t="shared" si="185"/>
        <v/>
      </c>
      <c r="GX785" s="2579" t="str">
        <f t="shared" si="186"/>
        <v/>
      </c>
      <c r="GY785" s="2579" t="str">
        <f t="shared" si="187"/>
        <v/>
      </c>
      <c r="GZ785" s="2579" t="str">
        <f t="shared" si="188"/>
        <v/>
      </c>
      <c r="HA785" s="2579" t="str">
        <f t="shared" si="189"/>
        <v/>
      </c>
      <c r="HB785" s="2579" t="str">
        <f t="shared" si="190"/>
        <v/>
      </c>
      <c r="HC785" s="2579" t="str">
        <f t="shared" si="191"/>
        <v/>
      </c>
      <c r="HD785" s="2579" t="str">
        <f t="shared" si="192"/>
        <v/>
      </c>
      <c r="HE785" s="2579" t="str">
        <f t="shared" si="193"/>
        <v/>
      </c>
      <c r="HF785" s="2579" t="str">
        <f t="shared" si="194"/>
        <v/>
      </c>
      <c r="HG785" s="2579" t="str">
        <f t="shared" si="195"/>
        <v/>
      </c>
      <c r="HH785" s="2579" t="str">
        <f t="shared" si="196"/>
        <v/>
      </c>
      <c r="HI785" s="2579" t="str">
        <f t="shared" si="197"/>
        <v/>
      </c>
      <c r="HJ785" s="2579" t="str">
        <f t="shared" si="198"/>
        <v/>
      </c>
      <c r="HK785" s="2579" t="str">
        <f t="shared" si="199"/>
        <v/>
      </c>
      <c r="HL785" s="2579" t="str">
        <f t="shared" si="200"/>
        <v/>
      </c>
      <c r="HM785" s="2579" t="str">
        <f t="shared" si="201"/>
        <v/>
      </c>
      <c r="HN785" s="2579" t="str">
        <f t="shared" si="202"/>
        <v/>
      </c>
      <c r="HO785" s="2579" t="str">
        <f t="shared" si="203"/>
        <v/>
      </c>
      <c r="HP785" s="2579" t="str">
        <f t="shared" si="204"/>
        <v/>
      </c>
      <c r="HQ785" s="2579" t="str">
        <f t="shared" si="205"/>
        <v/>
      </c>
      <c r="HR785" s="2579" t="str">
        <f t="shared" si="206"/>
        <v/>
      </c>
      <c r="HS785" s="2579" t="str">
        <f t="shared" si="207"/>
        <v/>
      </c>
      <c r="HT785" s="2579" t="str">
        <f t="shared" si="208"/>
        <v/>
      </c>
      <c r="HU785" s="2579" t="str">
        <f t="shared" si="209"/>
        <v/>
      </c>
      <c r="HV785" s="2579" t="str">
        <f t="shared" si="210"/>
        <v/>
      </c>
      <c r="HW785" s="2579" t="str">
        <f t="shared" si="211"/>
        <v/>
      </c>
      <c r="HX785" s="2579" t="str">
        <f t="shared" si="212"/>
        <v/>
      </c>
      <c r="HY785" s="2579" t="str">
        <f t="shared" si="213"/>
        <v/>
      </c>
      <c r="HZ785" s="2579" t="str">
        <f t="shared" si="214"/>
        <v/>
      </c>
      <c r="IA785" s="2579" t="str">
        <f t="shared" si="215"/>
        <v/>
      </c>
      <c r="IB785" s="2579" t="str">
        <f t="shared" si="216"/>
        <v/>
      </c>
      <c r="IC785" s="2579" t="str">
        <f t="shared" si="217"/>
        <v/>
      </c>
      <c r="ID785" s="2551" t="str">
        <f t="shared" si="218"/>
        <v/>
      </c>
      <c r="IE785" s="2551" t="str">
        <f t="shared" si="219"/>
        <v/>
      </c>
      <c r="IF785" s="2551" t="str">
        <f t="shared" si="220"/>
        <v/>
      </c>
      <c r="IG785" s="2551" t="str">
        <f t="shared" si="221"/>
        <v/>
      </c>
      <c r="IH785" s="2551"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2549">
        <f t="shared" si="243"/>
        <v>0</v>
      </c>
      <c r="JD785" s="2549">
        <f t="shared" si="244"/>
        <v>0</v>
      </c>
      <c r="JE785" s="2549">
        <f t="shared" si="245"/>
        <v>0</v>
      </c>
      <c r="JF785" s="2549">
        <f t="shared" si="246"/>
        <v>0</v>
      </c>
      <c r="JG785" s="2549">
        <f t="shared" si="247"/>
        <v>0</v>
      </c>
      <c r="JH785" s="2549">
        <f t="shared" si="248"/>
        <v>0</v>
      </c>
      <c r="JI785" s="2549">
        <f t="shared" si="249"/>
        <v>0</v>
      </c>
      <c r="JJ785" s="2549">
        <f t="shared" si="250"/>
        <v>0</v>
      </c>
      <c r="JK785" s="2549">
        <f t="shared" si="251"/>
        <v>0</v>
      </c>
      <c r="JL785" s="2549">
        <f t="shared" si="252"/>
        <v>0</v>
      </c>
      <c r="JM785" s="2549">
        <f t="shared" si="253"/>
        <v>0</v>
      </c>
      <c r="JN785" s="2549">
        <f t="shared" si="254"/>
        <v>0</v>
      </c>
      <c r="JO785" s="2549">
        <f t="shared" si="255"/>
        <v>0</v>
      </c>
      <c r="JP785" s="2549">
        <f t="shared" si="256"/>
        <v>0</v>
      </c>
      <c r="JQ785" s="2549">
        <f t="shared" si="257"/>
        <v>0</v>
      </c>
    </row>
    <row r="786" spans="1:277" ht="12" customHeight="1">
      <c r="A786" s="2562" t="str">
        <f t="shared" si="0"/>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1"/>
        <v>0</v>
      </c>
      <c r="L786" s="2576">
        <f t="shared" si="2"/>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2579" t="str">
        <f t="shared" si="133"/>
        <v/>
      </c>
      <c r="EX786" s="2579" t="str">
        <f t="shared" si="134"/>
        <v/>
      </c>
      <c r="EY786" s="2579" t="str">
        <f t="shared" si="135"/>
        <v/>
      </c>
      <c r="EZ786" s="2579" t="str">
        <f t="shared" si="136"/>
        <v/>
      </c>
      <c r="FA786" s="2579" t="str">
        <f t="shared" si="137"/>
        <v/>
      </c>
      <c r="FB786" s="2579" t="str">
        <f t="shared" si="138"/>
        <v/>
      </c>
      <c r="FC786" s="2579" t="str">
        <f t="shared" si="139"/>
        <v/>
      </c>
      <c r="FD786" s="2579" t="str">
        <f t="shared" si="140"/>
        <v/>
      </c>
      <c r="FE786" s="2579" t="str">
        <f t="shared" si="141"/>
        <v/>
      </c>
      <c r="FF786" s="2579" t="str">
        <f t="shared" si="142"/>
        <v/>
      </c>
      <c r="FG786" s="2579" t="str">
        <f t="shared" si="143"/>
        <v/>
      </c>
      <c r="FH786" s="2579" t="str">
        <f t="shared" si="144"/>
        <v/>
      </c>
      <c r="FI786" s="2579" t="str">
        <f t="shared" si="145"/>
        <v/>
      </c>
      <c r="FJ786" s="2579" t="str">
        <f t="shared" si="146"/>
        <v/>
      </c>
      <c r="FK786" s="2579" t="str">
        <f t="shared" si="147"/>
        <v/>
      </c>
      <c r="FL786" s="2579" t="str">
        <f t="shared" si="148"/>
        <v/>
      </c>
      <c r="FM786" s="2579" t="str">
        <f t="shared" si="149"/>
        <v/>
      </c>
      <c r="FN786" s="2579" t="str">
        <f t="shared" si="150"/>
        <v/>
      </c>
      <c r="FO786" s="2579" t="str">
        <f t="shared" si="151"/>
        <v/>
      </c>
      <c r="FP786" s="2579" t="str">
        <f t="shared" si="152"/>
        <v/>
      </c>
      <c r="FQ786" s="2579" t="str">
        <f t="shared" si="153"/>
        <v/>
      </c>
      <c r="FR786" s="2579" t="str">
        <f t="shared" si="154"/>
        <v/>
      </c>
      <c r="FS786" s="2579" t="str">
        <f t="shared" si="155"/>
        <v/>
      </c>
      <c r="FT786" s="2579" t="str">
        <f t="shared" si="156"/>
        <v/>
      </c>
      <c r="FU786" s="2579" t="str">
        <f t="shared" si="157"/>
        <v/>
      </c>
      <c r="FV786" s="2579" t="str">
        <f t="shared" si="158"/>
        <v/>
      </c>
      <c r="FW786" s="2579" t="str">
        <f t="shared" si="159"/>
        <v/>
      </c>
      <c r="FX786" s="2579" t="str">
        <f t="shared" si="160"/>
        <v/>
      </c>
      <c r="FY786" s="2579" t="str">
        <f t="shared" si="161"/>
        <v/>
      </c>
      <c r="FZ786" s="2579" t="str">
        <f t="shared" si="162"/>
        <v/>
      </c>
      <c r="GA786" s="2579" t="str">
        <f t="shared" si="163"/>
        <v/>
      </c>
      <c r="GB786" s="2579" t="str">
        <f t="shared" si="164"/>
        <v/>
      </c>
      <c r="GC786" s="2579" t="str">
        <f t="shared" si="165"/>
        <v/>
      </c>
      <c r="GD786" s="2579" t="str">
        <f t="shared" si="166"/>
        <v/>
      </c>
      <c r="GE786" s="2579" t="str">
        <f t="shared" si="167"/>
        <v/>
      </c>
      <c r="GF786" s="2579" t="str">
        <f t="shared" si="168"/>
        <v/>
      </c>
      <c r="GG786" s="2579" t="str">
        <f t="shared" si="169"/>
        <v/>
      </c>
      <c r="GH786" s="2579" t="str">
        <f t="shared" si="170"/>
        <v/>
      </c>
      <c r="GI786" s="2579" t="str">
        <f t="shared" si="171"/>
        <v/>
      </c>
      <c r="GJ786" s="2579" t="str">
        <f t="shared" si="172"/>
        <v/>
      </c>
      <c r="GK786" s="2579" t="str">
        <f t="shared" si="173"/>
        <v/>
      </c>
      <c r="GL786" s="2579" t="str">
        <f t="shared" si="174"/>
        <v/>
      </c>
      <c r="GM786" s="2579" t="str">
        <f t="shared" si="175"/>
        <v/>
      </c>
      <c r="GN786" s="2579" t="str">
        <f t="shared" si="176"/>
        <v/>
      </c>
      <c r="GO786" s="2579" t="str">
        <f t="shared" si="177"/>
        <v/>
      </c>
      <c r="GP786" s="2579" t="str">
        <f t="shared" si="178"/>
        <v/>
      </c>
      <c r="GQ786" s="2579" t="str">
        <f t="shared" si="179"/>
        <v/>
      </c>
      <c r="GR786" s="2579" t="str">
        <f t="shared" si="180"/>
        <v/>
      </c>
      <c r="GS786" s="2579" t="str">
        <f t="shared" si="181"/>
        <v/>
      </c>
      <c r="GT786" s="2579" t="str">
        <f t="shared" si="182"/>
        <v/>
      </c>
      <c r="GU786" s="2579" t="str">
        <f t="shared" si="183"/>
        <v/>
      </c>
      <c r="GV786" s="2579" t="str">
        <f t="shared" si="184"/>
        <v/>
      </c>
      <c r="GW786" s="2579" t="str">
        <f t="shared" si="185"/>
        <v/>
      </c>
      <c r="GX786" s="2579" t="str">
        <f t="shared" si="186"/>
        <v/>
      </c>
      <c r="GY786" s="2579" t="str">
        <f t="shared" si="187"/>
        <v/>
      </c>
      <c r="GZ786" s="2579" t="str">
        <f t="shared" si="188"/>
        <v/>
      </c>
      <c r="HA786" s="2579" t="str">
        <f t="shared" si="189"/>
        <v/>
      </c>
      <c r="HB786" s="2579" t="str">
        <f t="shared" si="190"/>
        <v/>
      </c>
      <c r="HC786" s="2579" t="str">
        <f t="shared" si="191"/>
        <v/>
      </c>
      <c r="HD786" s="2579" t="str">
        <f t="shared" si="192"/>
        <v/>
      </c>
      <c r="HE786" s="2579" t="str">
        <f t="shared" si="193"/>
        <v/>
      </c>
      <c r="HF786" s="2579" t="str">
        <f t="shared" si="194"/>
        <v/>
      </c>
      <c r="HG786" s="2579" t="str">
        <f t="shared" si="195"/>
        <v/>
      </c>
      <c r="HH786" s="2579" t="str">
        <f t="shared" si="196"/>
        <v/>
      </c>
      <c r="HI786" s="2579" t="str">
        <f t="shared" si="197"/>
        <v/>
      </c>
      <c r="HJ786" s="2579" t="str">
        <f t="shared" si="198"/>
        <v/>
      </c>
      <c r="HK786" s="2579" t="str">
        <f t="shared" si="199"/>
        <v/>
      </c>
      <c r="HL786" s="2579" t="str">
        <f t="shared" si="200"/>
        <v/>
      </c>
      <c r="HM786" s="2579" t="str">
        <f t="shared" si="201"/>
        <v/>
      </c>
      <c r="HN786" s="2579" t="str">
        <f t="shared" si="202"/>
        <v/>
      </c>
      <c r="HO786" s="2579" t="str">
        <f t="shared" si="203"/>
        <v/>
      </c>
      <c r="HP786" s="2579" t="str">
        <f t="shared" si="204"/>
        <v/>
      </c>
      <c r="HQ786" s="2579" t="str">
        <f t="shared" si="205"/>
        <v/>
      </c>
      <c r="HR786" s="2579" t="str">
        <f t="shared" si="206"/>
        <v/>
      </c>
      <c r="HS786" s="2579" t="str">
        <f t="shared" si="207"/>
        <v/>
      </c>
      <c r="HT786" s="2579" t="str">
        <f t="shared" si="208"/>
        <v/>
      </c>
      <c r="HU786" s="2579" t="str">
        <f t="shared" si="209"/>
        <v/>
      </c>
      <c r="HV786" s="2579" t="str">
        <f t="shared" si="210"/>
        <v/>
      </c>
      <c r="HW786" s="2579" t="str">
        <f t="shared" si="211"/>
        <v/>
      </c>
      <c r="HX786" s="2579" t="str">
        <f t="shared" si="212"/>
        <v/>
      </c>
      <c r="HY786" s="2579" t="str">
        <f t="shared" si="213"/>
        <v/>
      </c>
      <c r="HZ786" s="2579" t="str">
        <f t="shared" si="214"/>
        <v/>
      </c>
      <c r="IA786" s="2579" t="str">
        <f t="shared" si="215"/>
        <v/>
      </c>
      <c r="IB786" s="2579" t="str">
        <f t="shared" si="216"/>
        <v/>
      </c>
      <c r="IC786" s="2579" t="str">
        <f t="shared" si="217"/>
        <v/>
      </c>
      <c r="ID786" s="2551" t="str">
        <f t="shared" si="218"/>
        <v/>
      </c>
      <c r="IE786" s="2551" t="str">
        <f t="shared" si="219"/>
        <v/>
      </c>
      <c r="IF786" s="2551" t="str">
        <f t="shared" si="220"/>
        <v/>
      </c>
      <c r="IG786" s="2551" t="str">
        <f t="shared" si="221"/>
        <v/>
      </c>
      <c r="IH786" s="2551"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2549">
        <f t="shared" si="243"/>
        <v>0</v>
      </c>
      <c r="JD786" s="2549">
        <f t="shared" si="244"/>
        <v>0</v>
      </c>
      <c r="JE786" s="2549">
        <f t="shared" si="245"/>
        <v>0</v>
      </c>
      <c r="JF786" s="2549">
        <f t="shared" si="246"/>
        <v>0</v>
      </c>
      <c r="JG786" s="2549">
        <f t="shared" si="247"/>
        <v>0</v>
      </c>
      <c r="JH786" s="2549">
        <f t="shared" si="248"/>
        <v>0</v>
      </c>
      <c r="JI786" s="2549">
        <f t="shared" si="249"/>
        <v>0</v>
      </c>
      <c r="JJ786" s="2549">
        <f t="shared" si="250"/>
        <v>0</v>
      </c>
      <c r="JK786" s="2549">
        <f t="shared" si="251"/>
        <v>0</v>
      </c>
      <c r="JL786" s="2549">
        <f t="shared" si="252"/>
        <v>0</v>
      </c>
      <c r="JM786" s="2549">
        <f t="shared" si="253"/>
        <v>0</v>
      </c>
      <c r="JN786" s="2549">
        <f t="shared" si="254"/>
        <v>0</v>
      </c>
      <c r="JO786" s="2549">
        <f t="shared" si="255"/>
        <v>0</v>
      </c>
      <c r="JP786" s="2549">
        <f t="shared" si="256"/>
        <v>0</v>
      </c>
      <c r="JQ786" s="2549">
        <f t="shared" si="257"/>
        <v>0</v>
      </c>
    </row>
    <row r="787" spans="1:277" ht="12" customHeight="1">
      <c r="A787" s="2562" t="str">
        <f t="shared" si="0"/>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1"/>
        <v>0</v>
      </c>
      <c r="L787" s="2576">
        <f t="shared" si="2"/>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2579" t="str">
        <f t="shared" si="133"/>
        <v/>
      </c>
      <c r="EX787" s="2579" t="str">
        <f t="shared" si="134"/>
        <v/>
      </c>
      <c r="EY787" s="2579" t="str">
        <f t="shared" si="135"/>
        <v/>
      </c>
      <c r="EZ787" s="2579" t="str">
        <f t="shared" si="136"/>
        <v/>
      </c>
      <c r="FA787" s="2579" t="str">
        <f t="shared" si="137"/>
        <v/>
      </c>
      <c r="FB787" s="2579" t="str">
        <f t="shared" si="138"/>
        <v/>
      </c>
      <c r="FC787" s="2579" t="str">
        <f t="shared" si="139"/>
        <v/>
      </c>
      <c r="FD787" s="2579" t="str">
        <f t="shared" si="140"/>
        <v/>
      </c>
      <c r="FE787" s="2579" t="str">
        <f t="shared" si="141"/>
        <v/>
      </c>
      <c r="FF787" s="2579" t="str">
        <f t="shared" si="142"/>
        <v/>
      </c>
      <c r="FG787" s="2579" t="str">
        <f t="shared" si="143"/>
        <v/>
      </c>
      <c r="FH787" s="2579" t="str">
        <f t="shared" si="144"/>
        <v/>
      </c>
      <c r="FI787" s="2579" t="str">
        <f t="shared" si="145"/>
        <v/>
      </c>
      <c r="FJ787" s="2579" t="str">
        <f t="shared" si="146"/>
        <v/>
      </c>
      <c r="FK787" s="2579" t="str">
        <f t="shared" si="147"/>
        <v/>
      </c>
      <c r="FL787" s="2579" t="str">
        <f t="shared" si="148"/>
        <v/>
      </c>
      <c r="FM787" s="2579" t="str">
        <f t="shared" si="149"/>
        <v/>
      </c>
      <c r="FN787" s="2579" t="str">
        <f t="shared" si="150"/>
        <v/>
      </c>
      <c r="FO787" s="2579" t="str">
        <f t="shared" si="151"/>
        <v/>
      </c>
      <c r="FP787" s="2579" t="str">
        <f t="shared" si="152"/>
        <v/>
      </c>
      <c r="FQ787" s="2579" t="str">
        <f t="shared" si="153"/>
        <v/>
      </c>
      <c r="FR787" s="2579" t="str">
        <f t="shared" si="154"/>
        <v/>
      </c>
      <c r="FS787" s="2579" t="str">
        <f t="shared" si="155"/>
        <v/>
      </c>
      <c r="FT787" s="2579" t="str">
        <f t="shared" si="156"/>
        <v/>
      </c>
      <c r="FU787" s="2579" t="str">
        <f t="shared" si="157"/>
        <v/>
      </c>
      <c r="FV787" s="2579" t="str">
        <f t="shared" si="158"/>
        <v/>
      </c>
      <c r="FW787" s="2579" t="str">
        <f t="shared" si="159"/>
        <v/>
      </c>
      <c r="FX787" s="2579" t="str">
        <f t="shared" si="160"/>
        <v/>
      </c>
      <c r="FY787" s="2579" t="str">
        <f t="shared" si="161"/>
        <v/>
      </c>
      <c r="FZ787" s="2579" t="str">
        <f t="shared" si="162"/>
        <v/>
      </c>
      <c r="GA787" s="2579" t="str">
        <f t="shared" si="163"/>
        <v/>
      </c>
      <c r="GB787" s="2579" t="str">
        <f t="shared" si="164"/>
        <v/>
      </c>
      <c r="GC787" s="2579" t="str">
        <f t="shared" si="165"/>
        <v/>
      </c>
      <c r="GD787" s="2579" t="str">
        <f t="shared" si="166"/>
        <v/>
      </c>
      <c r="GE787" s="2579" t="str">
        <f t="shared" si="167"/>
        <v/>
      </c>
      <c r="GF787" s="2579" t="str">
        <f t="shared" si="168"/>
        <v/>
      </c>
      <c r="GG787" s="2579" t="str">
        <f t="shared" si="169"/>
        <v/>
      </c>
      <c r="GH787" s="2579" t="str">
        <f t="shared" si="170"/>
        <v/>
      </c>
      <c r="GI787" s="2579" t="str">
        <f t="shared" si="171"/>
        <v/>
      </c>
      <c r="GJ787" s="2579" t="str">
        <f t="shared" si="172"/>
        <v/>
      </c>
      <c r="GK787" s="2579" t="str">
        <f t="shared" si="173"/>
        <v/>
      </c>
      <c r="GL787" s="2579" t="str">
        <f t="shared" si="174"/>
        <v/>
      </c>
      <c r="GM787" s="2579" t="str">
        <f t="shared" si="175"/>
        <v/>
      </c>
      <c r="GN787" s="2579" t="str">
        <f t="shared" si="176"/>
        <v/>
      </c>
      <c r="GO787" s="2579" t="str">
        <f t="shared" si="177"/>
        <v/>
      </c>
      <c r="GP787" s="2579" t="str">
        <f t="shared" si="178"/>
        <v/>
      </c>
      <c r="GQ787" s="2579" t="str">
        <f t="shared" si="179"/>
        <v/>
      </c>
      <c r="GR787" s="2579" t="str">
        <f t="shared" si="180"/>
        <v/>
      </c>
      <c r="GS787" s="2579" t="str">
        <f t="shared" si="181"/>
        <v/>
      </c>
      <c r="GT787" s="2579" t="str">
        <f t="shared" si="182"/>
        <v/>
      </c>
      <c r="GU787" s="2579" t="str">
        <f t="shared" si="183"/>
        <v/>
      </c>
      <c r="GV787" s="2579" t="str">
        <f t="shared" si="184"/>
        <v/>
      </c>
      <c r="GW787" s="2579" t="str">
        <f t="shared" si="185"/>
        <v/>
      </c>
      <c r="GX787" s="2579" t="str">
        <f t="shared" si="186"/>
        <v/>
      </c>
      <c r="GY787" s="2579" t="str">
        <f t="shared" si="187"/>
        <v/>
      </c>
      <c r="GZ787" s="2579" t="str">
        <f t="shared" si="188"/>
        <v/>
      </c>
      <c r="HA787" s="2579" t="str">
        <f t="shared" si="189"/>
        <v/>
      </c>
      <c r="HB787" s="2579" t="str">
        <f t="shared" si="190"/>
        <v/>
      </c>
      <c r="HC787" s="2579" t="str">
        <f t="shared" si="191"/>
        <v/>
      </c>
      <c r="HD787" s="2579" t="str">
        <f t="shared" si="192"/>
        <v/>
      </c>
      <c r="HE787" s="2579" t="str">
        <f t="shared" si="193"/>
        <v/>
      </c>
      <c r="HF787" s="2579" t="str">
        <f t="shared" si="194"/>
        <v/>
      </c>
      <c r="HG787" s="2579" t="str">
        <f t="shared" si="195"/>
        <v/>
      </c>
      <c r="HH787" s="2579" t="str">
        <f t="shared" si="196"/>
        <v/>
      </c>
      <c r="HI787" s="2579" t="str">
        <f t="shared" si="197"/>
        <v/>
      </c>
      <c r="HJ787" s="2579" t="str">
        <f t="shared" si="198"/>
        <v/>
      </c>
      <c r="HK787" s="2579" t="str">
        <f t="shared" si="199"/>
        <v/>
      </c>
      <c r="HL787" s="2579" t="str">
        <f t="shared" si="200"/>
        <v/>
      </c>
      <c r="HM787" s="2579" t="str">
        <f t="shared" si="201"/>
        <v/>
      </c>
      <c r="HN787" s="2579" t="str">
        <f t="shared" si="202"/>
        <v/>
      </c>
      <c r="HO787" s="2579" t="str">
        <f t="shared" si="203"/>
        <v/>
      </c>
      <c r="HP787" s="2579" t="str">
        <f t="shared" si="204"/>
        <v/>
      </c>
      <c r="HQ787" s="2579" t="str">
        <f t="shared" si="205"/>
        <v/>
      </c>
      <c r="HR787" s="2579" t="str">
        <f t="shared" si="206"/>
        <v/>
      </c>
      <c r="HS787" s="2579" t="str">
        <f t="shared" si="207"/>
        <v/>
      </c>
      <c r="HT787" s="2579" t="str">
        <f t="shared" si="208"/>
        <v/>
      </c>
      <c r="HU787" s="2579" t="str">
        <f t="shared" si="209"/>
        <v/>
      </c>
      <c r="HV787" s="2579" t="str">
        <f t="shared" si="210"/>
        <v/>
      </c>
      <c r="HW787" s="2579" t="str">
        <f t="shared" si="211"/>
        <v/>
      </c>
      <c r="HX787" s="2579" t="str">
        <f t="shared" si="212"/>
        <v/>
      </c>
      <c r="HY787" s="2579" t="str">
        <f t="shared" si="213"/>
        <v/>
      </c>
      <c r="HZ787" s="2579" t="str">
        <f t="shared" si="214"/>
        <v/>
      </c>
      <c r="IA787" s="2579" t="str">
        <f t="shared" si="215"/>
        <v/>
      </c>
      <c r="IB787" s="2579" t="str">
        <f t="shared" si="216"/>
        <v/>
      </c>
      <c r="IC787" s="2579" t="str">
        <f t="shared" si="217"/>
        <v/>
      </c>
      <c r="ID787" s="2551" t="str">
        <f t="shared" si="218"/>
        <v/>
      </c>
      <c r="IE787" s="2551" t="str">
        <f t="shared" si="219"/>
        <v/>
      </c>
      <c r="IF787" s="2551" t="str">
        <f t="shared" si="220"/>
        <v/>
      </c>
      <c r="IG787" s="2551" t="str">
        <f t="shared" si="221"/>
        <v/>
      </c>
      <c r="IH787" s="2551"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2549">
        <f t="shared" si="243"/>
        <v>0</v>
      </c>
      <c r="JD787" s="2549">
        <f t="shared" si="244"/>
        <v>0</v>
      </c>
      <c r="JE787" s="2549">
        <f t="shared" si="245"/>
        <v>0</v>
      </c>
      <c r="JF787" s="2549">
        <f t="shared" si="246"/>
        <v>0</v>
      </c>
      <c r="JG787" s="2549">
        <f t="shared" si="247"/>
        <v>0</v>
      </c>
      <c r="JH787" s="2549">
        <f t="shared" si="248"/>
        <v>0</v>
      </c>
      <c r="JI787" s="2549">
        <f t="shared" si="249"/>
        <v>0</v>
      </c>
      <c r="JJ787" s="2549">
        <f t="shared" si="250"/>
        <v>0</v>
      </c>
      <c r="JK787" s="2549">
        <f t="shared" si="251"/>
        <v>0</v>
      </c>
      <c r="JL787" s="2549">
        <f t="shared" si="252"/>
        <v>0</v>
      </c>
      <c r="JM787" s="2549">
        <f t="shared" si="253"/>
        <v>0</v>
      </c>
      <c r="JN787" s="2549">
        <f t="shared" si="254"/>
        <v>0</v>
      </c>
      <c r="JO787" s="2549">
        <f t="shared" si="255"/>
        <v>0</v>
      </c>
      <c r="JP787" s="2549">
        <f t="shared" si="256"/>
        <v>0</v>
      </c>
      <c r="JQ787" s="2549">
        <f t="shared" si="257"/>
        <v>0</v>
      </c>
    </row>
    <row r="788" spans="1:277" ht="12" customHeight="1">
      <c r="A788" s="2562" t="str">
        <f t="shared" si="0"/>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1"/>
        <v>0</v>
      </c>
      <c r="L788" s="2576">
        <f t="shared" si="2"/>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2579" t="str">
        <f t="shared" si="133"/>
        <v/>
      </c>
      <c r="EX788" s="2579" t="str">
        <f t="shared" si="134"/>
        <v/>
      </c>
      <c r="EY788" s="2579" t="str">
        <f t="shared" si="135"/>
        <v/>
      </c>
      <c r="EZ788" s="2579" t="str">
        <f t="shared" si="136"/>
        <v/>
      </c>
      <c r="FA788" s="2579" t="str">
        <f t="shared" si="137"/>
        <v/>
      </c>
      <c r="FB788" s="2579" t="str">
        <f t="shared" si="138"/>
        <v/>
      </c>
      <c r="FC788" s="2579" t="str">
        <f t="shared" si="139"/>
        <v/>
      </c>
      <c r="FD788" s="2579" t="str">
        <f t="shared" si="140"/>
        <v/>
      </c>
      <c r="FE788" s="2579" t="str">
        <f t="shared" si="141"/>
        <v/>
      </c>
      <c r="FF788" s="2579" t="str">
        <f t="shared" si="142"/>
        <v/>
      </c>
      <c r="FG788" s="2579" t="str">
        <f t="shared" si="143"/>
        <v/>
      </c>
      <c r="FH788" s="2579" t="str">
        <f t="shared" si="144"/>
        <v/>
      </c>
      <c r="FI788" s="2579" t="str">
        <f t="shared" si="145"/>
        <v/>
      </c>
      <c r="FJ788" s="2579" t="str">
        <f t="shared" si="146"/>
        <v/>
      </c>
      <c r="FK788" s="2579" t="str">
        <f t="shared" si="147"/>
        <v/>
      </c>
      <c r="FL788" s="2579" t="str">
        <f t="shared" si="148"/>
        <v/>
      </c>
      <c r="FM788" s="2579" t="str">
        <f t="shared" si="149"/>
        <v/>
      </c>
      <c r="FN788" s="2579" t="str">
        <f t="shared" si="150"/>
        <v/>
      </c>
      <c r="FO788" s="2579" t="str">
        <f t="shared" si="151"/>
        <v/>
      </c>
      <c r="FP788" s="2579" t="str">
        <f t="shared" si="152"/>
        <v/>
      </c>
      <c r="FQ788" s="2579" t="str">
        <f t="shared" si="153"/>
        <v/>
      </c>
      <c r="FR788" s="2579" t="str">
        <f t="shared" si="154"/>
        <v/>
      </c>
      <c r="FS788" s="2579" t="str">
        <f t="shared" si="155"/>
        <v/>
      </c>
      <c r="FT788" s="2579" t="str">
        <f t="shared" si="156"/>
        <v/>
      </c>
      <c r="FU788" s="2579" t="str">
        <f t="shared" si="157"/>
        <v/>
      </c>
      <c r="FV788" s="2579" t="str">
        <f t="shared" si="158"/>
        <v/>
      </c>
      <c r="FW788" s="2579" t="str">
        <f t="shared" si="159"/>
        <v/>
      </c>
      <c r="FX788" s="2579" t="str">
        <f t="shared" si="160"/>
        <v/>
      </c>
      <c r="FY788" s="2579" t="str">
        <f t="shared" si="161"/>
        <v/>
      </c>
      <c r="FZ788" s="2579" t="str">
        <f t="shared" si="162"/>
        <v/>
      </c>
      <c r="GA788" s="2579" t="str">
        <f t="shared" si="163"/>
        <v/>
      </c>
      <c r="GB788" s="2579" t="str">
        <f t="shared" si="164"/>
        <v/>
      </c>
      <c r="GC788" s="2579" t="str">
        <f t="shared" si="165"/>
        <v/>
      </c>
      <c r="GD788" s="2579" t="str">
        <f t="shared" si="166"/>
        <v/>
      </c>
      <c r="GE788" s="2579" t="str">
        <f t="shared" si="167"/>
        <v/>
      </c>
      <c r="GF788" s="2579" t="str">
        <f t="shared" si="168"/>
        <v/>
      </c>
      <c r="GG788" s="2579" t="str">
        <f t="shared" si="169"/>
        <v/>
      </c>
      <c r="GH788" s="2579" t="str">
        <f t="shared" si="170"/>
        <v/>
      </c>
      <c r="GI788" s="2579" t="str">
        <f t="shared" si="171"/>
        <v/>
      </c>
      <c r="GJ788" s="2579" t="str">
        <f t="shared" si="172"/>
        <v/>
      </c>
      <c r="GK788" s="2579" t="str">
        <f t="shared" si="173"/>
        <v/>
      </c>
      <c r="GL788" s="2579" t="str">
        <f t="shared" si="174"/>
        <v/>
      </c>
      <c r="GM788" s="2579" t="str">
        <f t="shared" si="175"/>
        <v/>
      </c>
      <c r="GN788" s="2579" t="str">
        <f t="shared" si="176"/>
        <v/>
      </c>
      <c r="GO788" s="2579" t="str">
        <f t="shared" si="177"/>
        <v/>
      </c>
      <c r="GP788" s="2579" t="str">
        <f t="shared" si="178"/>
        <v/>
      </c>
      <c r="GQ788" s="2579" t="str">
        <f t="shared" si="179"/>
        <v/>
      </c>
      <c r="GR788" s="2579" t="str">
        <f t="shared" si="180"/>
        <v/>
      </c>
      <c r="GS788" s="2579" t="str">
        <f t="shared" si="181"/>
        <v/>
      </c>
      <c r="GT788" s="2579" t="str">
        <f t="shared" si="182"/>
        <v/>
      </c>
      <c r="GU788" s="2579" t="str">
        <f t="shared" si="183"/>
        <v/>
      </c>
      <c r="GV788" s="2579" t="str">
        <f t="shared" si="184"/>
        <v/>
      </c>
      <c r="GW788" s="2579" t="str">
        <f t="shared" si="185"/>
        <v/>
      </c>
      <c r="GX788" s="2579" t="str">
        <f t="shared" si="186"/>
        <v/>
      </c>
      <c r="GY788" s="2579" t="str">
        <f t="shared" si="187"/>
        <v/>
      </c>
      <c r="GZ788" s="2579" t="str">
        <f t="shared" si="188"/>
        <v/>
      </c>
      <c r="HA788" s="2579" t="str">
        <f t="shared" si="189"/>
        <v/>
      </c>
      <c r="HB788" s="2579" t="str">
        <f t="shared" si="190"/>
        <v/>
      </c>
      <c r="HC788" s="2579" t="str">
        <f t="shared" si="191"/>
        <v/>
      </c>
      <c r="HD788" s="2579" t="str">
        <f t="shared" si="192"/>
        <v/>
      </c>
      <c r="HE788" s="2579" t="str">
        <f t="shared" si="193"/>
        <v/>
      </c>
      <c r="HF788" s="2579" t="str">
        <f t="shared" si="194"/>
        <v/>
      </c>
      <c r="HG788" s="2579" t="str">
        <f t="shared" si="195"/>
        <v/>
      </c>
      <c r="HH788" s="2579" t="str">
        <f t="shared" si="196"/>
        <v/>
      </c>
      <c r="HI788" s="2579" t="str">
        <f t="shared" si="197"/>
        <v/>
      </c>
      <c r="HJ788" s="2579" t="str">
        <f t="shared" si="198"/>
        <v/>
      </c>
      <c r="HK788" s="2579" t="str">
        <f t="shared" si="199"/>
        <v/>
      </c>
      <c r="HL788" s="2579" t="str">
        <f t="shared" si="200"/>
        <v/>
      </c>
      <c r="HM788" s="2579" t="str">
        <f t="shared" si="201"/>
        <v/>
      </c>
      <c r="HN788" s="2579" t="str">
        <f t="shared" si="202"/>
        <v/>
      </c>
      <c r="HO788" s="2579" t="str">
        <f t="shared" si="203"/>
        <v/>
      </c>
      <c r="HP788" s="2579" t="str">
        <f t="shared" si="204"/>
        <v/>
      </c>
      <c r="HQ788" s="2579" t="str">
        <f t="shared" si="205"/>
        <v/>
      </c>
      <c r="HR788" s="2579" t="str">
        <f t="shared" si="206"/>
        <v/>
      </c>
      <c r="HS788" s="2579" t="str">
        <f t="shared" si="207"/>
        <v/>
      </c>
      <c r="HT788" s="2579" t="str">
        <f t="shared" si="208"/>
        <v/>
      </c>
      <c r="HU788" s="2579" t="str">
        <f t="shared" si="209"/>
        <v/>
      </c>
      <c r="HV788" s="2579" t="str">
        <f t="shared" si="210"/>
        <v/>
      </c>
      <c r="HW788" s="2579" t="str">
        <f t="shared" si="211"/>
        <v/>
      </c>
      <c r="HX788" s="2579" t="str">
        <f t="shared" si="212"/>
        <v/>
      </c>
      <c r="HY788" s="2579" t="str">
        <f t="shared" si="213"/>
        <v/>
      </c>
      <c r="HZ788" s="2579" t="str">
        <f t="shared" si="214"/>
        <v/>
      </c>
      <c r="IA788" s="2579" t="str">
        <f t="shared" si="215"/>
        <v/>
      </c>
      <c r="IB788" s="2579" t="str">
        <f t="shared" si="216"/>
        <v/>
      </c>
      <c r="IC788" s="2579" t="str">
        <f t="shared" si="217"/>
        <v/>
      </c>
      <c r="ID788" s="2551" t="str">
        <f t="shared" si="218"/>
        <v/>
      </c>
      <c r="IE788" s="2551" t="str">
        <f t="shared" si="219"/>
        <v/>
      </c>
      <c r="IF788" s="2551" t="str">
        <f t="shared" si="220"/>
        <v/>
      </c>
      <c r="IG788" s="2551" t="str">
        <f t="shared" si="221"/>
        <v/>
      </c>
      <c r="IH788" s="2551"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2549">
        <f t="shared" si="243"/>
        <v>0</v>
      </c>
      <c r="JD788" s="2549">
        <f t="shared" si="244"/>
        <v>0</v>
      </c>
      <c r="JE788" s="2549">
        <f t="shared" si="245"/>
        <v>0</v>
      </c>
      <c r="JF788" s="2549">
        <f t="shared" si="246"/>
        <v>0</v>
      </c>
      <c r="JG788" s="2549">
        <f t="shared" si="247"/>
        <v>0</v>
      </c>
      <c r="JH788" s="2549">
        <f t="shared" si="248"/>
        <v>0</v>
      </c>
      <c r="JI788" s="2549">
        <f t="shared" si="249"/>
        <v>0</v>
      </c>
      <c r="JJ788" s="2549">
        <f t="shared" si="250"/>
        <v>0</v>
      </c>
      <c r="JK788" s="2549">
        <f t="shared" si="251"/>
        <v>0</v>
      </c>
      <c r="JL788" s="2549">
        <f t="shared" si="252"/>
        <v>0</v>
      </c>
      <c r="JM788" s="2549">
        <f t="shared" si="253"/>
        <v>0</v>
      </c>
      <c r="JN788" s="2549">
        <f t="shared" si="254"/>
        <v>0</v>
      </c>
      <c r="JO788" s="2549">
        <f t="shared" si="255"/>
        <v>0</v>
      </c>
      <c r="JP788" s="2549">
        <f t="shared" si="256"/>
        <v>0</v>
      </c>
      <c r="JQ788" s="2549">
        <f t="shared" si="257"/>
        <v>0</v>
      </c>
    </row>
    <row r="789" spans="1:277" ht="12" customHeight="1">
      <c r="A789" s="2562" t="str">
        <f t="shared" si="0"/>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1"/>
        <v>0</v>
      </c>
      <c r="L789" s="2576">
        <f t="shared" si="2"/>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2579" t="str">
        <f t="shared" si="133"/>
        <v/>
      </c>
      <c r="EX789" s="2579" t="str">
        <f t="shared" si="134"/>
        <v/>
      </c>
      <c r="EY789" s="2579" t="str">
        <f t="shared" si="135"/>
        <v/>
      </c>
      <c r="EZ789" s="2579" t="str">
        <f t="shared" si="136"/>
        <v/>
      </c>
      <c r="FA789" s="2579" t="str">
        <f t="shared" si="137"/>
        <v/>
      </c>
      <c r="FB789" s="2579" t="str">
        <f t="shared" si="138"/>
        <v/>
      </c>
      <c r="FC789" s="2579" t="str">
        <f t="shared" si="139"/>
        <v/>
      </c>
      <c r="FD789" s="2579" t="str">
        <f t="shared" si="140"/>
        <v/>
      </c>
      <c r="FE789" s="2579" t="str">
        <f t="shared" si="141"/>
        <v/>
      </c>
      <c r="FF789" s="2579" t="str">
        <f t="shared" si="142"/>
        <v/>
      </c>
      <c r="FG789" s="2579" t="str">
        <f t="shared" si="143"/>
        <v/>
      </c>
      <c r="FH789" s="2579" t="str">
        <f t="shared" si="144"/>
        <v/>
      </c>
      <c r="FI789" s="2579" t="str">
        <f t="shared" si="145"/>
        <v/>
      </c>
      <c r="FJ789" s="2579" t="str">
        <f t="shared" si="146"/>
        <v/>
      </c>
      <c r="FK789" s="2579" t="str">
        <f t="shared" si="147"/>
        <v/>
      </c>
      <c r="FL789" s="2579" t="str">
        <f t="shared" si="148"/>
        <v/>
      </c>
      <c r="FM789" s="2579" t="str">
        <f t="shared" si="149"/>
        <v/>
      </c>
      <c r="FN789" s="2579" t="str">
        <f t="shared" si="150"/>
        <v/>
      </c>
      <c r="FO789" s="2579" t="str">
        <f t="shared" si="151"/>
        <v/>
      </c>
      <c r="FP789" s="2579" t="str">
        <f t="shared" si="152"/>
        <v/>
      </c>
      <c r="FQ789" s="2579" t="str">
        <f t="shared" si="153"/>
        <v/>
      </c>
      <c r="FR789" s="2579" t="str">
        <f t="shared" si="154"/>
        <v/>
      </c>
      <c r="FS789" s="2579" t="str">
        <f t="shared" si="155"/>
        <v/>
      </c>
      <c r="FT789" s="2579" t="str">
        <f t="shared" si="156"/>
        <v/>
      </c>
      <c r="FU789" s="2579" t="str">
        <f t="shared" si="157"/>
        <v/>
      </c>
      <c r="FV789" s="2579" t="str">
        <f t="shared" si="158"/>
        <v/>
      </c>
      <c r="FW789" s="2579" t="str">
        <f t="shared" si="159"/>
        <v/>
      </c>
      <c r="FX789" s="2579" t="str">
        <f t="shared" si="160"/>
        <v/>
      </c>
      <c r="FY789" s="2579" t="str">
        <f t="shared" si="161"/>
        <v/>
      </c>
      <c r="FZ789" s="2579" t="str">
        <f t="shared" si="162"/>
        <v/>
      </c>
      <c r="GA789" s="2579" t="str">
        <f t="shared" si="163"/>
        <v/>
      </c>
      <c r="GB789" s="2579" t="str">
        <f t="shared" si="164"/>
        <v/>
      </c>
      <c r="GC789" s="2579" t="str">
        <f t="shared" si="165"/>
        <v/>
      </c>
      <c r="GD789" s="2579" t="str">
        <f t="shared" si="166"/>
        <v/>
      </c>
      <c r="GE789" s="2579" t="str">
        <f t="shared" si="167"/>
        <v/>
      </c>
      <c r="GF789" s="2579" t="str">
        <f t="shared" si="168"/>
        <v/>
      </c>
      <c r="GG789" s="2579" t="str">
        <f t="shared" si="169"/>
        <v/>
      </c>
      <c r="GH789" s="2579" t="str">
        <f t="shared" si="170"/>
        <v/>
      </c>
      <c r="GI789" s="2579" t="str">
        <f t="shared" si="171"/>
        <v/>
      </c>
      <c r="GJ789" s="2579" t="str">
        <f t="shared" si="172"/>
        <v/>
      </c>
      <c r="GK789" s="2579" t="str">
        <f t="shared" si="173"/>
        <v/>
      </c>
      <c r="GL789" s="2579" t="str">
        <f t="shared" si="174"/>
        <v/>
      </c>
      <c r="GM789" s="2579" t="str">
        <f t="shared" si="175"/>
        <v/>
      </c>
      <c r="GN789" s="2579" t="str">
        <f t="shared" si="176"/>
        <v/>
      </c>
      <c r="GO789" s="2579" t="str">
        <f t="shared" si="177"/>
        <v/>
      </c>
      <c r="GP789" s="2579" t="str">
        <f t="shared" si="178"/>
        <v/>
      </c>
      <c r="GQ789" s="2579" t="str">
        <f t="shared" si="179"/>
        <v/>
      </c>
      <c r="GR789" s="2579" t="str">
        <f t="shared" si="180"/>
        <v/>
      </c>
      <c r="GS789" s="2579" t="str">
        <f t="shared" si="181"/>
        <v/>
      </c>
      <c r="GT789" s="2579" t="str">
        <f t="shared" si="182"/>
        <v/>
      </c>
      <c r="GU789" s="2579" t="str">
        <f t="shared" si="183"/>
        <v/>
      </c>
      <c r="GV789" s="2579" t="str">
        <f t="shared" si="184"/>
        <v/>
      </c>
      <c r="GW789" s="2579" t="str">
        <f t="shared" si="185"/>
        <v/>
      </c>
      <c r="GX789" s="2579" t="str">
        <f t="shared" si="186"/>
        <v/>
      </c>
      <c r="GY789" s="2579" t="str">
        <f t="shared" si="187"/>
        <v/>
      </c>
      <c r="GZ789" s="2579" t="str">
        <f t="shared" si="188"/>
        <v/>
      </c>
      <c r="HA789" s="2579" t="str">
        <f t="shared" si="189"/>
        <v/>
      </c>
      <c r="HB789" s="2579" t="str">
        <f t="shared" si="190"/>
        <v/>
      </c>
      <c r="HC789" s="2579" t="str">
        <f t="shared" si="191"/>
        <v/>
      </c>
      <c r="HD789" s="2579" t="str">
        <f t="shared" si="192"/>
        <v/>
      </c>
      <c r="HE789" s="2579" t="str">
        <f t="shared" si="193"/>
        <v/>
      </c>
      <c r="HF789" s="2579" t="str">
        <f t="shared" si="194"/>
        <v/>
      </c>
      <c r="HG789" s="2579" t="str">
        <f t="shared" si="195"/>
        <v/>
      </c>
      <c r="HH789" s="2579" t="str">
        <f t="shared" si="196"/>
        <v/>
      </c>
      <c r="HI789" s="2579" t="str">
        <f t="shared" si="197"/>
        <v/>
      </c>
      <c r="HJ789" s="2579" t="str">
        <f t="shared" si="198"/>
        <v/>
      </c>
      <c r="HK789" s="2579" t="str">
        <f t="shared" si="199"/>
        <v/>
      </c>
      <c r="HL789" s="2579" t="str">
        <f t="shared" si="200"/>
        <v/>
      </c>
      <c r="HM789" s="2579" t="str">
        <f t="shared" si="201"/>
        <v/>
      </c>
      <c r="HN789" s="2579" t="str">
        <f t="shared" si="202"/>
        <v/>
      </c>
      <c r="HO789" s="2579" t="str">
        <f t="shared" si="203"/>
        <v/>
      </c>
      <c r="HP789" s="2579" t="str">
        <f t="shared" si="204"/>
        <v/>
      </c>
      <c r="HQ789" s="2579" t="str">
        <f t="shared" si="205"/>
        <v/>
      </c>
      <c r="HR789" s="2579" t="str">
        <f t="shared" si="206"/>
        <v/>
      </c>
      <c r="HS789" s="2579" t="str">
        <f t="shared" si="207"/>
        <v/>
      </c>
      <c r="HT789" s="2579" t="str">
        <f t="shared" si="208"/>
        <v/>
      </c>
      <c r="HU789" s="2579" t="str">
        <f t="shared" si="209"/>
        <v/>
      </c>
      <c r="HV789" s="2579" t="str">
        <f t="shared" si="210"/>
        <v/>
      </c>
      <c r="HW789" s="2579" t="str">
        <f t="shared" si="211"/>
        <v/>
      </c>
      <c r="HX789" s="2579" t="str">
        <f t="shared" si="212"/>
        <v/>
      </c>
      <c r="HY789" s="2579" t="str">
        <f t="shared" si="213"/>
        <v/>
      </c>
      <c r="HZ789" s="2579" t="str">
        <f t="shared" si="214"/>
        <v/>
      </c>
      <c r="IA789" s="2579" t="str">
        <f t="shared" si="215"/>
        <v/>
      </c>
      <c r="IB789" s="2579" t="str">
        <f t="shared" si="216"/>
        <v/>
      </c>
      <c r="IC789" s="2579" t="str">
        <f t="shared" si="217"/>
        <v/>
      </c>
      <c r="ID789" s="2551" t="str">
        <f t="shared" si="218"/>
        <v/>
      </c>
      <c r="IE789" s="2551" t="str">
        <f t="shared" si="219"/>
        <v/>
      </c>
      <c r="IF789" s="2551" t="str">
        <f t="shared" si="220"/>
        <v/>
      </c>
      <c r="IG789" s="2551" t="str">
        <f t="shared" si="221"/>
        <v/>
      </c>
      <c r="IH789" s="2551"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2549">
        <f t="shared" si="243"/>
        <v>0</v>
      </c>
      <c r="JD789" s="2549">
        <f t="shared" si="244"/>
        <v>0</v>
      </c>
      <c r="JE789" s="2549">
        <f t="shared" si="245"/>
        <v>0</v>
      </c>
      <c r="JF789" s="2549">
        <f t="shared" si="246"/>
        <v>0</v>
      </c>
      <c r="JG789" s="2549">
        <f t="shared" si="247"/>
        <v>0</v>
      </c>
      <c r="JH789" s="2549">
        <f t="shared" si="248"/>
        <v>0</v>
      </c>
      <c r="JI789" s="2549">
        <f t="shared" si="249"/>
        <v>0</v>
      </c>
      <c r="JJ789" s="2549">
        <f t="shared" si="250"/>
        <v>0</v>
      </c>
      <c r="JK789" s="2549">
        <f t="shared" si="251"/>
        <v>0</v>
      </c>
      <c r="JL789" s="2549">
        <f t="shared" si="252"/>
        <v>0</v>
      </c>
      <c r="JM789" s="2549">
        <f t="shared" si="253"/>
        <v>0</v>
      </c>
      <c r="JN789" s="2549">
        <f t="shared" si="254"/>
        <v>0</v>
      </c>
      <c r="JO789" s="2549">
        <f t="shared" si="255"/>
        <v>0</v>
      </c>
      <c r="JP789" s="2549">
        <f t="shared" si="256"/>
        <v>0</v>
      </c>
      <c r="JQ789" s="2549">
        <f t="shared" si="257"/>
        <v>0</v>
      </c>
    </row>
    <row r="790" spans="1:277" ht="12" customHeight="1">
      <c r="A790" s="2562" t="str">
        <f t="shared" si="0"/>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1"/>
        <v>0</v>
      </c>
      <c r="L790" s="2576">
        <f t="shared" si="2"/>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2579" t="str">
        <f t="shared" si="133"/>
        <v/>
      </c>
      <c r="EX790" s="2579" t="str">
        <f t="shared" si="134"/>
        <v/>
      </c>
      <c r="EY790" s="2579" t="str">
        <f t="shared" si="135"/>
        <v/>
      </c>
      <c r="EZ790" s="2579" t="str">
        <f t="shared" si="136"/>
        <v/>
      </c>
      <c r="FA790" s="2579" t="str">
        <f t="shared" si="137"/>
        <v/>
      </c>
      <c r="FB790" s="2579" t="str">
        <f t="shared" si="138"/>
        <v/>
      </c>
      <c r="FC790" s="2579" t="str">
        <f t="shared" si="139"/>
        <v/>
      </c>
      <c r="FD790" s="2579" t="str">
        <f t="shared" si="140"/>
        <v/>
      </c>
      <c r="FE790" s="2579" t="str">
        <f t="shared" si="141"/>
        <v/>
      </c>
      <c r="FF790" s="2579" t="str">
        <f t="shared" si="142"/>
        <v/>
      </c>
      <c r="FG790" s="2579" t="str">
        <f t="shared" si="143"/>
        <v/>
      </c>
      <c r="FH790" s="2579" t="str">
        <f t="shared" si="144"/>
        <v/>
      </c>
      <c r="FI790" s="2579" t="str">
        <f t="shared" si="145"/>
        <v/>
      </c>
      <c r="FJ790" s="2579" t="str">
        <f t="shared" si="146"/>
        <v/>
      </c>
      <c r="FK790" s="2579" t="str">
        <f t="shared" si="147"/>
        <v/>
      </c>
      <c r="FL790" s="2579" t="str">
        <f t="shared" si="148"/>
        <v/>
      </c>
      <c r="FM790" s="2579" t="str">
        <f t="shared" si="149"/>
        <v/>
      </c>
      <c r="FN790" s="2579" t="str">
        <f t="shared" si="150"/>
        <v/>
      </c>
      <c r="FO790" s="2579" t="str">
        <f t="shared" si="151"/>
        <v/>
      </c>
      <c r="FP790" s="2579" t="str">
        <f t="shared" si="152"/>
        <v/>
      </c>
      <c r="FQ790" s="2579" t="str">
        <f t="shared" si="153"/>
        <v/>
      </c>
      <c r="FR790" s="2579" t="str">
        <f t="shared" si="154"/>
        <v/>
      </c>
      <c r="FS790" s="2579" t="str">
        <f t="shared" si="155"/>
        <v/>
      </c>
      <c r="FT790" s="2579" t="str">
        <f t="shared" si="156"/>
        <v/>
      </c>
      <c r="FU790" s="2579" t="str">
        <f t="shared" si="157"/>
        <v/>
      </c>
      <c r="FV790" s="2579" t="str">
        <f t="shared" si="158"/>
        <v/>
      </c>
      <c r="FW790" s="2579" t="str">
        <f t="shared" si="159"/>
        <v/>
      </c>
      <c r="FX790" s="2579" t="str">
        <f t="shared" si="160"/>
        <v/>
      </c>
      <c r="FY790" s="2579" t="str">
        <f t="shared" si="161"/>
        <v/>
      </c>
      <c r="FZ790" s="2579" t="str">
        <f t="shared" si="162"/>
        <v/>
      </c>
      <c r="GA790" s="2579" t="str">
        <f t="shared" si="163"/>
        <v/>
      </c>
      <c r="GB790" s="2579" t="str">
        <f t="shared" si="164"/>
        <v/>
      </c>
      <c r="GC790" s="2579" t="str">
        <f t="shared" si="165"/>
        <v/>
      </c>
      <c r="GD790" s="2579" t="str">
        <f t="shared" si="166"/>
        <v/>
      </c>
      <c r="GE790" s="2579" t="str">
        <f t="shared" si="167"/>
        <v/>
      </c>
      <c r="GF790" s="2579" t="str">
        <f t="shared" si="168"/>
        <v/>
      </c>
      <c r="GG790" s="2579" t="str">
        <f t="shared" si="169"/>
        <v/>
      </c>
      <c r="GH790" s="2579" t="str">
        <f t="shared" si="170"/>
        <v/>
      </c>
      <c r="GI790" s="2579" t="str">
        <f t="shared" si="171"/>
        <v/>
      </c>
      <c r="GJ790" s="2579" t="str">
        <f t="shared" si="172"/>
        <v/>
      </c>
      <c r="GK790" s="2579" t="str">
        <f t="shared" si="173"/>
        <v/>
      </c>
      <c r="GL790" s="2579" t="str">
        <f t="shared" si="174"/>
        <v/>
      </c>
      <c r="GM790" s="2579" t="str">
        <f t="shared" si="175"/>
        <v/>
      </c>
      <c r="GN790" s="2579" t="str">
        <f t="shared" si="176"/>
        <v/>
      </c>
      <c r="GO790" s="2579" t="str">
        <f t="shared" si="177"/>
        <v/>
      </c>
      <c r="GP790" s="2579" t="str">
        <f t="shared" si="178"/>
        <v/>
      </c>
      <c r="GQ790" s="2579" t="str">
        <f t="shared" si="179"/>
        <v/>
      </c>
      <c r="GR790" s="2579" t="str">
        <f t="shared" si="180"/>
        <v/>
      </c>
      <c r="GS790" s="2579" t="str">
        <f t="shared" si="181"/>
        <v/>
      </c>
      <c r="GT790" s="2579" t="str">
        <f t="shared" si="182"/>
        <v/>
      </c>
      <c r="GU790" s="2579" t="str">
        <f t="shared" si="183"/>
        <v/>
      </c>
      <c r="GV790" s="2579" t="str">
        <f t="shared" si="184"/>
        <v/>
      </c>
      <c r="GW790" s="2579" t="str">
        <f t="shared" si="185"/>
        <v/>
      </c>
      <c r="GX790" s="2579" t="str">
        <f t="shared" si="186"/>
        <v/>
      </c>
      <c r="GY790" s="2579" t="str">
        <f t="shared" si="187"/>
        <v/>
      </c>
      <c r="GZ790" s="2579" t="str">
        <f t="shared" si="188"/>
        <v/>
      </c>
      <c r="HA790" s="2579" t="str">
        <f t="shared" si="189"/>
        <v/>
      </c>
      <c r="HB790" s="2579" t="str">
        <f t="shared" si="190"/>
        <v/>
      </c>
      <c r="HC790" s="2579" t="str">
        <f t="shared" si="191"/>
        <v/>
      </c>
      <c r="HD790" s="2579" t="str">
        <f t="shared" si="192"/>
        <v/>
      </c>
      <c r="HE790" s="2579" t="str">
        <f t="shared" si="193"/>
        <v/>
      </c>
      <c r="HF790" s="2579" t="str">
        <f t="shared" si="194"/>
        <v/>
      </c>
      <c r="HG790" s="2579" t="str">
        <f t="shared" si="195"/>
        <v/>
      </c>
      <c r="HH790" s="2579" t="str">
        <f t="shared" si="196"/>
        <v/>
      </c>
      <c r="HI790" s="2579" t="str">
        <f t="shared" si="197"/>
        <v/>
      </c>
      <c r="HJ790" s="2579" t="str">
        <f t="shared" si="198"/>
        <v/>
      </c>
      <c r="HK790" s="2579" t="str">
        <f t="shared" si="199"/>
        <v/>
      </c>
      <c r="HL790" s="2579" t="str">
        <f t="shared" si="200"/>
        <v/>
      </c>
      <c r="HM790" s="2579" t="str">
        <f t="shared" si="201"/>
        <v/>
      </c>
      <c r="HN790" s="2579" t="str">
        <f t="shared" si="202"/>
        <v/>
      </c>
      <c r="HO790" s="2579" t="str">
        <f t="shared" si="203"/>
        <v/>
      </c>
      <c r="HP790" s="2579" t="str">
        <f t="shared" si="204"/>
        <v/>
      </c>
      <c r="HQ790" s="2579" t="str">
        <f t="shared" si="205"/>
        <v/>
      </c>
      <c r="HR790" s="2579" t="str">
        <f t="shared" si="206"/>
        <v/>
      </c>
      <c r="HS790" s="2579" t="str">
        <f t="shared" si="207"/>
        <v/>
      </c>
      <c r="HT790" s="2579" t="str">
        <f t="shared" si="208"/>
        <v/>
      </c>
      <c r="HU790" s="2579" t="str">
        <f t="shared" si="209"/>
        <v/>
      </c>
      <c r="HV790" s="2579" t="str">
        <f t="shared" si="210"/>
        <v/>
      </c>
      <c r="HW790" s="2579" t="str">
        <f t="shared" si="211"/>
        <v/>
      </c>
      <c r="HX790" s="2579" t="str">
        <f t="shared" si="212"/>
        <v/>
      </c>
      <c r="HY790" s="2579" t="str">
        <f t="shared" si="213"/>
        <v/>
      </c>
      <c r="HZ790" s="2579" t="str">
        <f t="shared" si="214"/>
        <v/>
      </c>
      <c r="IA790" s="2579" t="str">
        <f t="shared" si="215"/>
        <v/>
      </c>
      <c r="IB790" s="2579" t="str">
        <f t="shared" si="216"/>
        <v/>
      </c>
      <c r="IC790" s="2579" t="str">
        <f t="shared" si="217"/>
        <v/>
      </c>
      <c r="ID790" s="2551" t="str">
        <f t="shared" si="218"/>
        <v/>
      </c>
      <c r="IE790" s="2551" t="str">
        <f t="shared" si="219"/>
        <v/>
      </c>
      <c r="IF790" s="2551" t="str">
        <f t="shared" si="220"/>
        <v/>
      </c>
      <c r="IG790" s="2551" t="str">
        <f t="shared" si="221"/>
        <v/>
      </c>
      <c r="IH790" s="2551"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2549">
        <f t="shared" si="243"/>
        <v>0</v>
      </c>
      <c r="JD790" s="2549">
        <f t="shared" si="244"/>
        <v>0</v>
      </c>
      <c r="JE790" s="2549">
        <f t="shared" si="245"/>
        <v>0</v>
      </c>
      <c r="JF790" s="2549">
        <f t="shared" si="246"/>
        <v>0</v>
      </c>
      <c r="JG790" s="2549">
        <f t="shared" si="247"/>
        <v>0</v>
      </c>
      <c r="JH790" s="2549">
        <f t="shared" si="248"/>
        <v>0</v>
      </c>
      <c r="JI790" s="2549">
        <f t="shared" si="249"/>
        <v>0</v>
      </c>
      <c r="JJ790" s="2549">
        <f t="shared" si="250"/>
        <v>0</v>
      </c>
      <c r="JK790" s="2549">
        <f t="shared" si="251"/>
        <v>0</v>
      </c>
      <c r="JL790" s="2549">
        <f t="shared" si="252"/>
        <v>0</v>
      </c>
      <c r="JM790" s="2549">
        <f t="shared" si="253"/>
        <v>0</v>
      </c>
      <c r="JN790" s="2549">
        <f t="shared" si="254"/>
        <v>0</v>
      </c>
      <c r="JO790" s="2549">
        <f t="shared" si="255"/>
        <v>0</v>
      </c>
      <c r="JP790" s="2549">
        <f t="shared" si="256"/>
        <v>0</v>
      </c>
      <c r="JQ790" s="2549">
        <f t="shared" si="257"/>
        <v>0</v>
      </c>
    </row>
    <row r="791" spans="1:277" ht="12" customHeight="1">
      <c r="A791" s="2562" t="str">
        <f t="shared" si="0"/>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1"/>
        <v>0</v>
      </c>
      <c r="L791" s="2576">
        <f t="shared" si="2"/>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2579" t="str">
        <f t="shared" si="133"/>
        <v/>
      </c>
      <c r="EX791" s="2579" t="str">
        <f t="shared" si="134"/>
        <v/>
      </c>
      <c r="EY791" s="2579" t="str">
        <f t="shared" si="135"/>
        <v/>
      </c>
      <c r="EZ791" s="2579" t="str">
        <f t="shared" si="136"/>
        <v/>
      </c>
      <c r="FA791" s="2579" t="str">
        <f t="shared" si="137"/>
        <v/>
      </c>
      <c r="FB791" s="2579" t="str">
        <f t="shared" si="138"/>
        <v/>
      </c>
      <c r="FC791" s="2579" t="str">
        <f t="shared" si="139"/>
        <v/>
      </c>
      <c r="FD791" s="2579" t="str">
        <f t="shared" si="140"/>
        <v/>
      </c>
      <c r="FE791" s="2579" t="str">
        <f t="shared" si="141"/>
        <v/>
      </c>
      <c r="FF791" s="2579" t="str">
        <f t="shared" si="142"/>
        <v/>
      </c>
      <c r="FG791" s="2579" t="str">
        <f t="shared" si="143"/>
        <v/>
      </c>
      <c r="FH791" s="2579" t="str">
        <f t="shared" si="144"/>
        <v/>
      </c>
      <c r="FI791" s="2579" t="str">
        <f t="shared" si="145"/>
        <v/>
      </c>
      <c r="FJ791" s="2579" t="str">
        <f t="shared" si="146"/>
        <v/>
      </c>
      <c r="FK791" s="2579" t="str">
        <f t="shared" si="147"/>
        <v/>
      </c>
      <c r="FL791" s="2579" t="str">
        <f t="shared" si="148"/>
        <v/>
      </c>
      <c r="FM791" s="2579" t="str">
        <f t="shared" si="149"/>
        <v/>
      </c>
      <c r="FN791" s="2579" t="str">
        <f t="shared" si="150"/>
        <v/>
      </c>
      <c r="FO791" s="2579" t="str">
        <f t="shared" si="151"/>
        <v/>
      </c>
      <c r="FP791" s="2579" t="str">
        <f t="shared" si="152"/>
        <v/>
      </c>
      <c r="FQ791" s="2579" t="str">
        <f t="shared" si="153"/>
        <v/>
      </c>
      <c r="FR791" s="2579" t="str">
        <f t="shared" si="154"/>
        <v/>
      </c>
      <c r="FS791" s="2579" t="str">
        <f t="shared" si="155"/>
        <v/>
      </c>
      <c r="FT791" s="2579" t="str">
        <f t="shared" si="156"/>
        <v/>
      </c>
      <c r="FU791" s="2579" t="str">
        <f t="shared" si="157"/>
        <v/>
      </c>
      <c r="FV791" s="2579" t="str">
        <f t="shared" si="158"/>
        <v/>
      </c>
      <c r="FW791" s="2579" t="str">
        <f t="shared" si="159"/>
        <v/>
      </c>
      <c r="FX791" s="2579" t="str">
        <f t="shared" si="160"/>
        <v/>
      </c>
      <c r="FY791" s="2579" t="str">
        <f t="shared" si="161"/>
        <v/>
      </c>
      <c r="FZ791" s="2579" t="str">
        <f t="shared" si="162"/>
        <v/>
      </c>
      <c r="GA791" s="2579" t="str">
        <f t="shared" si="163"/>
        <v/>
      </c>
      <c r="GB791" s="2579" t="str">
        <f t="shared" si="164"/>
        <v/>
      </c>
      <c r="GC791" s="2579" t="str">
        <f t="shared" si="165"/>
        <v/>
      </c>
      <c r="GD791" s="2579" t="str">
        <f t="shared" si="166"/>
        <v/>
      </c>
      <c r="GE791" s="2579" t="str">
        <f t="shared" si="167"/>
        <v/>
      </c>
      <c r="GF791" s="2579" t="str">
        <f t="shared" si="168"/>
        <v/>
      </c>
      <c r="GG791" s="2579" t="str">
        <f t="shared" si="169"/>
        <v/>
      </c>
      <c r="GH791" s="2579" t="str">
        <f t="shared" si="170"/>
        <v/>
      </c>
      <c r="GI791" s="2579" t="str">
        <f t="shared" si="171"/>
        <v/>
      </c>
      <c r="GJ791" s="2579" t="str">
        <f t="shared" si="172"/>
        <v/>
      </c>
      <c r="GK791" s="2579" t="str">
        <f t="shared" si="173"/>
        <v/>
      </c>
      <c r="GL791" s="2579" t="str">
        <f t="shared" si="174"/>
        <v/>
      </c>
      <c r="GM791" s="2579" t="str">
        <f t="shared" si="175"/>
        <v/>
      </c>
      <c r="GN791" s="2579" t="str">
        <f t="shared" si="176"/>
        <v/>
      </c>
      <c r="GO791" s="2579" t="str">
        <f t="shared" si="177"/>
        <v/>
      </c>
      <c r="GP791" s="2579" t="str">
        <f t="shared" si="178"/>
        <v/>
      </c>
      <c r="GQ791" s="2579" t="str">
        <f t="shared" si="179"/>
        <v/>
      </c>
      <c r="GR791" s="2579" t="str">
        <f t="shared" si="180"/>
        <v/>
      </c>
      <c r="GS791" s="2579" t="str">
        <f t="shared" si="181"/>
        <v/>
      </c>
      <c r="GT791" s="2579" t="str">
        <f t="shared" si="182"/>
        <v/>
      </c>
      <c r="GU791" s="2579" t="str">
        <f t="shared" si="183"/>
        <v/>
      </c>
      <c r="GV791" s="2579" t="str">
        <f t="shared" si="184"/>
        <v/>
      </c>
      <c r="GW791" s="2579" t="str">
        <f t="shared" si="185"/>
        <v/>
      </c>
      <c r="GX791" s="2579" t="str">
        <f t="shared" si="186"/>
        <v/>
      </c>
      <c r="GY791" s="2579" t="str">
        <f t="shared" si="187"/>
        <v/>
      </c>
      <c r="GZ791" s="2579" t="str">
        <f t="shared" si="188"/>
        <v/>
      </c>
      <c r="HA791" s="2579" t="str">
        <f t="shared" si="189"/>
        <v/>
      </c>
      <c r="HB791" s="2579" t="str">
        <f t="shared" si="190"/>
        <v/>
      </c>
      <c r="HC791" s="2579" t="str">
        <f t="shared" si="191"/>
        <v/>
      </c>
      <c r="HD791" s="2579" t="str">
        <f t="shared" si="192"/>
        <v/>
      </c>
      <c r="HE791" s="2579" t="str">
        <f t="shared" si="193"/>
        <v/>
      </c>
      <c r="HF791" s="2579" t="str">
        <f t="shared" si="194"/>
        <v/>
      </c>
      <c r="HG791" s="2579" t="str">
        <f t="shared" si="195"/>
        <v/>
      </c>
      <c r="HH791" s="2579" t="str">
        <f t="shared" si="196"/>
        <v/>
      </c>
      <c r="HI791" s="2579" t="str">
        <f t="shared" si="197"/>
        <v/>
      </c>
      <c r="HJ791" s="2579" t="str">
        <f t="shared" si="198"/>
        <v/>
      </c>
      <c r="HK791" s="2579" t="str">
        <f t="shared" si="199"/>
        <v/>
      </c>
      <c r="HL791" s="2579" t="str">
        <f t="shared" si="200"/>
        <v/>
      </c>
      <c r="HM791" s="2579" t="str">
        <f t="shared" si="201"/>
        <v/>
      </c>
      <c r="HN791" s="2579" t="str">
        <f t="shared" si="202"/>
        <v/>
      </c>
      <c r="HO791" s="2579" t="str">
        <f t="shared" si="203"/>
        <v/>
      </c>
      <c r="HP791" s="2579" t="str">
        <f t="shared" si="204"/>
        <v/>
      </c>
      <c r="HQ791" s="2579" t="str">
        <f t="shared" si="205"/>
        <v/>
      </c>
      <c r="HR791" s="2579" t="str">
        <f t="shared" si="206"/>
        <v/>
      </c>
      <c r="HS791" s="2579" t="str">
        <f t="shared" si="207"/>
        <v/>
      </c>
      <c r="HT791" s="2579" t="str">
        <f t="shared" si="208"/>
        <v/>
      </c>
      <c r="HU791" s="2579" t="str">
        <f t="shared" si="209"/>
        <v/>
      </c>
      <c r="HV791" s="2579" t="str">
        <f t="shared" si="210"/>
        <v/>
      </c>
      <c r="HW791" s="2579" t="str">
        <f t="shared" si="211"/>
        <v/>
      </c>
      <c r="HX791" s="2579" t="str">
        <f t="shared" si="212"/>
        <v/>
      </c>
      <c r="HY791" s="2579" t="str">
        <f t="shared" si="213"/>
        <v/>
      </c>
      <c r="HZ791" s="2579" t="str">
        <f t="shared" si="214"/>
        <v/>
      </c>
      <c r="IA791" s="2579" t="str">
        <f t="shared" si="215"/>
        <v/>
      </c>
      <c r="IB791" s="2579" t="str">
        <f t="shared" si="216"/>
        <v/>
      </c>
      <c r="IC791" s="2579" t="str">
        <f t="shared" si="217"/>
        <v/>
      </c>
      <c r="ID791" s="2551" t="str">
        <f t="shared" si="218"/>
        <v/>
      </c>
      <c r="IE791" s="2551" t="str">
        <f t="shared" si="219"/>
        <v/>
      </c>
      <c r="IF791" s="2551" t="str">
        <f t="shared" si="220"/>
        <v/>
      </c>
      <c r="IG791" s="2551" t="str">
        <f t="shared" si="221"/>
        <v/>
      </c>
      <c r="IH791" s="2551"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2549">
        <f t="shared" si="243"/>
        <v>0</v>
      </c>
      <c r="JD791" s="2549">
        <f t="shared" si="244"/>
        <v>0</v>
      </c>
      <c r="JE791" s="2549">
        <f t="shared" si="245"/>
        <v>0</v>
      </c>
      <c r="JF791" s="2549">
        <f t="shared" si="246"/>
        <v>0</v>
      </c>
      <c r="JG791" s="2549">
        <f t="shared" si="247"/>
        <v>0</v>
      </c>
      <c r="JH791" s="2549">
        <f t="shared" si="248"/>
        <v>0</v>
      </c>
      <c r="JI791" s="2549">
        <f t="shared" si="249"/>
        <v>0</v>
      </c>
      <c r="JJ791" s="2549">
        <f t="shared" si="250"/>
        <v>0</v>
      </c>
      <c r="JK791" s="2549">
        <f t="shared" si="251"/>
        <v>0</v>
      </c>
      <c r="JL791" s="2549">
        <f t="shared" si="252"/>
        <v>0</v>
      </c>
      <c r="JM791" s="2549">
        <f t="shared" si="253"/>
        <v>0</v>
      </c>
      <c r="JN791" s="2549">
        <f t="shared" si="254"/>
        <v>0</v>
      </c>
      <c r="JO791" s="2549">
        <f t="shared" si="255"/>
        <v>0</v>
      </c>
      <c r="JP791" s="2549">
        <f t="shared" si="256"/>
        <v>0</v>
      </c>
      <c r="JQ791" s="2549">
        <f t="shared" si="257"/>
        <v>0</v>
      </c>
    </row>
    <row r="792" spans="1:277" ht="12" customHeight="1">
      <c r="A792" s="2562" t="str">
        <f t="shared" si="0"/>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1"/>
        <v>0</v>
      </c>
      <c r="L792" s="2576">
        <f t="shared" si="2"/>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2579" t="str">
        <f t="shared" si="133"/>
        <v/>
      </c>
      <c r="EX792" s="2579" t="str">
        <f t="shared" si="134"/>
        <v/>
      </c>
      <c r="EY792" s="2579" t="str">
        <f t="shared" si="135"/>
        <v/>
      </c>
      <c r="EZ792" s="2579" t="str">
        <f t="shared" si="136"/>
        <v/>
      </c>
      <c r="FA792" s="2579" t="str">
        <f t="shared" si="137"/>
        <v/>
      </c>
      <c r="FB792" s="2579" t="str">
        <f t="shared" si="138"/>
        <v/>
      </c>
      <c r="FC792" s="2579" t="str">
        <f t="shared" si="139"/>
        <v/>
      </c>
      <c r="FD792" s="2579" t="str">
        <f t="shared" si="140"/>
        <v/>
      </c>
      <c r="FE792" s="2579" t="str">
        <f t="shared" si="141"/>
        <v/>
      </c>
      <c r="FF792" s="2579" t="str">
        <f t="shared" si="142"/>
        <v/>
      </c>
      <c r="FG792" s="2579" t="str">
        <f t="shared" si="143"/>
        <v/>
      </c>
      <c r="FH792" s="2579" t="str">
        <f t="shared" si="144"/>
        <v/>
      </c>
      <c r="FI792" s="2579" t="str">
        <f t="shared" si="145"/>
        <v/>
      </c>
      <c r="FJ792" s="2579" t="str">
        <f t="shared" si="146"/>
        <v/>
      </c>
      <c r="FK792" s="2579" t="str">
        <f t="shared" si="147"/>
        <v/>
      </c>
      <c r="FL792" s="2579" t="str">
        <f t="shared" si="148"/>
        <v/>
      </c>
      <c r="FM792" s="2579" t="str">
        <f t="shared" si="149"/>
        <v/>
      </c>
      <c r="FN792" s="2579" t="str">
        <f t="shared" si="150"/>
        <v/>
      </c>
      <c r="FO792" s="2579" t="str">
        <f t="shared" si="151"/>
        <v/>
      </c>
      <c r="FP792" s="2579" t="str">
        <f t="shared" si="152"/>
        <v/>
      </c>
      <c r="FQ792" s="2579" t="str">
        <f t="shared" si="153"/>
        <v/>
      </c>
      <c r="FR792" s="2579" t="str">
        <f t="shared" si="154"/>
        <v/>
      </c>
      <c r="FS792" s="2579" t="str">
        <f t="shared" si="155"/>
        <v/>
      </c>
      <c r="FT792" s="2579" t="str">
        <f t="shared" si="156"/>
        <v/>
      </c>
      <c r="FU792" s="2579" t="str">
        <f t="shared" si="157"/>
        <v/>
      </c>
      <c r="FV792" s="2579" t="str">
        <f t="shared" si="158"/>
        <v/>
      </c>
      <c r="FW792" s="2579" t="str">
        <f t="shared" si="159"/>
        <v/>
      </c>
      <c r="FX792" s="2579" t="str">
        <f t="shared" si="160"/>
        <v/>
      </c>
      <c r="FY792" s="2579" t="str">
        <f t="shared" si="161"/>
        <v/>
      </c>
      <c r="FZ792" s="2579" t="str">
        <f t="shared" si="162"/>
        <v/>
      </c>
      <c r="GA792" s="2579" t="str">
        <f t="shared" si="163"/>
        <v/>
      </c>
      <c r="GB792" s="2579" t="str">
        <f t="shared" si="164"/>
        <v/>
      </c>
      <c r="GC792" s="2579" t="str">
        <f t="shared" si="165"/>
        <v/>
      </c>
      <c r="GD792" s="2579" t="str">
        <f t="shared" si="166"/>
        <v/>
      </c>
      <c r="GE792" s="2579" t="str">
        <f t="shared" si="167"/>
        <v/>
      </c>
      <c r="GF792" s="2579" t="str">
        <f t="shared" si="168"/>
        <v/>
      </c>
      <c r="GG792" s="2579" t="str">
        <f t="shared" si="169"/>
        <v/>
      </c>
      <c r="GH792" s="2579" t="str">
        <f t="shared" si="170"/>
        <v/>
      </c>
      <c r="GI792" s="2579" t="str">
        <f t="shared" si="171"/>
        <v/>
      </c>
      <c r="GJ792" s="2579" t="str">
        <f t="shared" si="172"/>
        <v/>
      </c>
      <c r="GK792" s="2579" t="str">
        <f t="shared" si="173"/>
        <v/>
      </c>
      <c r="GL792" s="2579" t="str">
        <f t="shared" si="174"/>
        <v/>
      </c>
      <c r="GM792" s="2579" t="str">
        <f t="shared" si="175"/>
        <v/>
      </c>
      <c r="GN792" s="2579" t="str">
        <f t="shared" si="176"/>
        <v/>
      </c>
      <c r="GO792" s="2579" t="str">
        <f t="shared" si="177"/>
        <v/>
      </c>
      <c r="GP792" s="2579" t="str">
        <f t="shared" si="178"/>
        <v/>
      </c>
      <c r="GQ792" s="2579" t="str">
        <f t="shared" si="179"/>
        <v/>
      </c>
      <c r="GR792" s="2579" t="str">
        <f t="shared" si="180"/>
        <v/>
      </c>
      <c r="GS792" s="2579" t="str">
        <f t="shared" si="181"/>
        <v/>
      </c>
      <c r="GT792" s="2579" t="str">
        <f t="shared" si="182"/>
        <v/>
      </c>
      <c r="GU792" s="2579" t="str">
        <f t="shared" si="183"/>
        <v/>
      </c>
      <c r="GV792" s="2579" t="str">
        <f t="shared" si="184"/>
        <v/>
      </c>
      <c r="GW792" s="2579" t="str">
        <f t="shared" si="185"/>
        <v/>
      </c>
      <c r="GX792" s="2579" t="str">
        <f t="shared" si="186"/>
        <v/>
      </c>
      <c r="GY792" s="2579" t="str">
        <f t="shared" si="187"/>
        <v/>
      </c>
      <c r="GZ792" s="2579" t="str">
        <f t="shared" si="188"/>
        <v/>
      </c>
      <c r="HA792" s="2579" t="str">
        <f t="shared" si="189"/>
        <v/>
      </c>
      <c r="HB792" s="2579" t="str">
        <f t="shared" si="190"/>
        <v/>
      </c>
      <c r="HC792" s="2579" t="str">
        <f t="shared" si="191"/>
        <v/>
      </c>
      <c r="HD792" s="2579" t="str">
        <f t="shared" si="192"/>
        <v/>
      </c>
      <c r="HE792" s="2579" t="str">
        <f t="shared" si="193"/>
        <v/>
      </c>
      <c r="HF792" s="2579" t="str">
        <f t="shared" si="194"/>
        <v/>
      </c>
      <c r="HG792" s="2579" t="str">
        <f t="shared" si="195"/>
        <v/>
      </c>
      <c r="HH792" s="2579" t="str">
        <f t="shared" si="196"/>
        <v/>
      </c>
      <c r="HI792" s="2579" t="str">
        <f t="shared" si="197"/>
        <v/>
      </c>
      <c r="HJ792" s="2579" t="str">
        <f t="shared" si="198"/>
        <v/>
      </c>
      <c r="HK792" s="2579" t="str">
        <f t="shared" si="199"/>
        <v/>
      </c>
      <c r="HL792" s="2579" t="str">
        <f t="shared" si="200"/>
        <v/>
      </c>
      <c r="HM792" s="2579" t="str">
        <f t="shared" si="201"/>
        <v/>
      </c>
      <c r="HN792" s="2579" t="str">
        <f t="shared" si="202"/>
        <v/>
      </c>
      <c r="HO792" s="2579" t="str">
        <f t="shared" si="203"/>
        <v/>
      </c>
      <c r="HP792" s="2579" t="str">
        <f t="shared" si="204"/>
        <v/>
      </c>
      <c r="HQ792" s="2579" t="str">
        <f t="shared" si="205"/>
        <v/>
      </c>
      <c r="HR792" s="2579" t="str">
        <f t="shared" si="206"/>
        <v/>
      </c>
      <c r="HS792" s="2579" t="str">
        <f t="shared" si="207"/>
        <v/>
      </c>
      <c r="HT792" s="2579" t="str">
        <f t="shared" si="208"/>
        <v/>
      </c>
      <c r="HU792" s="2579" t="str">
        <f t="shared" si="209"/>
        <v/>
      </c>
      <c r="HV792" s="2579" t="str">
        <f t="shared" si="210"/>
        <v/>
      </c>
      <c r="HW792" s="2579" t="str">
        <f t="shared" si="211"/>
        <v/>
      </c>
      <c r="HX792" s="2579" t="str">
        <f t="shared" si="212"/>
        <v/>
      </c>
      <c r="HY792" s="2579" t="str">
        <f t="shared" si="213"/>
        <v/>
      </c>
      <c r="HZ792" s="2579" t="str">
        <f t="shared" si="214"/>
        <v/>
      </c>
      <c r="IA792" s="2579" t="str">
        <f t="shared" si="215"/>
        <v/>
      </c>
      <c r="IB792" s="2579" t="str">
        <f t="shared" si="216"/>
        <v/>
      </c>
      <c r="IC792" s="2579" t="str">
        <f t="shared" si="217"/>
        <v/>
      </c>
      <c r="ID792" s="2551" t="str">
        <f t="shared" si="218"/>
        <v/>
      </c>
      <c r="IE792" s="2551" t="str">
        <f t="shared" si="219"/>
        <v/>
      </c>
      <c r="IF792" s="2551" t="str">
        <f t="shared" si="220"/>
        <v/>
      </c>
      <c r="IG792" s="2551" t="str">
        <f t="shared" si="221"/>
        <v/>
      </c>
      <c r="IH792" s="2551"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2549">
        <f t="shared" si="243"/>
        <v>0</v>
      </c>
      <c r="JD792" s="2549">
        <f t="shared" si="244"/>
        <v>0</v>
      </c>
      <c r="JE792" s="2549">
        <f t="shared" si="245"/>
        <v>0</v>
      </c>
      <c r="JF792" s="2549">
        <f t="shared" si="246"/>
        <v>0</v>
      </c>
      <c r="JG792" s="2549">
        <f t="shared" si="247"/>
        <v>0</v>
      </c>
      <c r="JH792" s="2549">
        <f t="shared" si="248"/>
        <v>0</v>
      </c>
      <c r="JI792" s="2549">
        <f t="shared" si="249"/>
        <v>0</v>
      </c>
      <c r="JJ792" s="2549">
        <f t="shared" si="250"/>
        <v>0</v>
      </c>
      <c r="JK792" s="2549">
        <f t="shared" si="251"/>
        <v>0</v>
      </c>
      <c r="JL792" s="2549">
        <f t="shared" si="252"/>
        <v>0</v>
      </c>
      <c r="JM792" s="2549">
        <f t="shared" si="253"/>
        <v>0</v>
      </c>
      <c r="JN792" s="2549">
        <f t="shared" si="254"/>
        <v>0</v>
      </c>
      <c r="JO792" s="2549">
        <f t="shared" si="255"/>
        <v>0</v>
      </c>
      <c r="JP792" s="2549">
        <f t="shared" si="256"/>
        <v>0</v>
      </c>
      <c r="JQ792" s="2549">
        <f t="shared" si="257"/>
        <v>0</v>
      </c>
    </row>
    <row r="793" spans="1:277" ht="12" customHeight="1">
      <c r="A793" s="2562" t="str">
        <f t="shared" si="0"/>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1"/>
        <v>0</v>
      </c>
      <c r="L793" s="2576">
        <f t="shared" si="2"/>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2579" t="str">
        <f t="shared" si="133"/>
        <v/>
      </c>
      <c r="EX793" s="2579" t="str">
        <f t="shared" si="134"/>
        <v/>
      </c>
      <c r="EY793" s="2579" t="str">
        <f t="shared" si="135"/>
        <v/>
      </c>
      <c r="EZ793" s="2579" t="str">
        <f t="shared" si="136"/>
        <v/>
      </c>
      <c r="FA793" s="2579" t="str">
        <f t="shared" si="137"/>
        <v/>
      </c>
      <c r="FB793" s="2579" t="str">
        <f t="shared" si="138"/>
        <v/>
      </c>
      <c r="FC793" s="2579" t="str">
        <f t="shared" si="139"/>
        <v/>
      </c>
      <c r="FD793" s="2579" t="str">
        <f t="shared" si="140"/>
        <v/>
      </c>
      <c r="FE793" s="2579" t="str">
        <f t="shared" si="141"/>
        <v/>
      </c>
      <c r="FF793" s="2579" t="str">
        <f t="shared" si="142"/>
        <v/>
      </c>
      <c r="FG793" s="2579" t="str">
        <f t="shared" si="143"/>
        <v/>
      </c>
      <c r="FH793" s="2579" t="str">
        <f t="shared" si="144"/>
        <v/>
      </c>
      <c r="FI793" s="2579" t="str">
        <f t="shared" si="145"/>
        <v/>
      </c>
      <c r="FJ793" s="2579" t="str">
        <f t="shared" si="146"/>
        <v/>
      </c>
      <c r="FK793" s="2579" t="str">
        <f t="shared" si="147"/>
        <v/>
      </c>
      <c r="FL793" s="2579" t="str">
        <f t="shared" si="148"/>
        <v/>
      </c>
      <c r="FM793" s="2579" t="str">
        <f t="shared" si="149"/>
        <v/>
      </c>
      <c r="FN793" s="2579" t="str">
        <f t="shared" si="150"/>
        <v/>
      </c>
      <c r="FO793" s="2579" t="str">
        <f t="shared" si="151"/>
        <v/>
      </c>
      <c r="FP793" s="2579" t="str">
        <f t="shared" si="152"/>
        <v/>
      </c>
      <c r="FQ793" s="2579" t="str">
        <f t="shared" si="153"/>
        <v/>
      </c>
      <c r="FR793" s="2579" t="str">
        <f t="shared" si="154"/>
        <v/>
      </c>
      <c r="FS793" s="2579" t="str">
        <f t="shared" si="155"/>
        <v/>
      </c>
      <c r="FT793" s="2579" t="str">
        <f t="shared" si="156"/>
        <v/>
      </c>
      <c r="FU793" s="2579" t="str">
        <f t="shared" si="157"/>
        <v/>
      </c>
      <c r="FV793" s="2579" t="str">
        <f t="shared" si="158"/>
        <v/>
      </c>
      <c r="FW793" s="2579" t="str">
        <f t="shared" si="159"/>
        <v/>
      </c>
      <c r="FX793" s="2579" t="str">
        <f t="shared" si="160"/>
        <v/>
      </c>
      <c r="FY793" s="2579" t="str">
        <f t="shared" si="161"/>
        <v/>
      </c>
      <c r="FZ793" s="2579" t="str">
        <f t="shared" si="162"/>
        <v/>
      </c>
      <c r="GA793" s="2579" t="str">
        <f t="shared" si="163"/>
        <v/>
      </c>
      <c r="GB793" s="2579" t="str">
        <f t="shared" si="164"/>
        <v/>
      </c>
      <c r="GC793" s="2579" t="str">
        <f t="shared" si="165"/>
        <v/>
      </c>
      <c r="GD793" s="2579" t="str">
        <f t="shared" si="166"/>
        <v/>
      </c>
      <c r="GE793" s="2579" t="str">
        <f t="shared" si="167"/>
        <v/>
      </c>
      <c r="GF793" s="2579" t="str">
        <f t="shared" si="168"/>
        <v/>
      </c>
      <c r="GG793" s="2579" t="str">
        <f t="shared" si="169"/>
        <v/>
      </c>
      <c r="GH793" s="2579" t="str">
        <f t="shared" si="170"/>
        <v/>
      </c>
      <c r="GI793" s="2579" t="str">
        <f t="shared" si="171"/>
        <v/>
      </c>
      <c r="GJ793" s="2579" t="str">
        <f t="shared" si="172"/>
        <v/>
      </c>
      <c r="GK793" s="2579" t="str">
        <f t="shared" si="173"/>
        <v/>
      </c>
      <c r="GL793" s="2579" t="str">
        <f t="shared" si="174"/>
        <v/>
      </c>
      <c r="GM793" s="2579" t="str">
        <f t="shared" si="175"/>
        <v/>
      </c>
      <c r="GN793" s="2579" t="str">
        <f t="shared" si="176"/>
        <v/>
      </c>
      <c r="GO793" s="2579" t="str">
        <f t="shared" si="177"/>
        <v/>
      </c>
      <c r="GP793" s="2579" t="str">
        <f t="shared" si="178"/>
        <v/>
      </c>
      <c r="GQ793" s="2579" t="str">
        <f t="shared" si="179"/>
        <v/>
      </c>
      <c r="GR793" s="2579" t="str">
        <f t="shared" si="180"/>
        <v/>
      </c>
      <c r="GS793" s="2579" t="str">
        <f t="shared" si="181"/>
        <v/>
      </c>
      <c r="GT793" s="2579" t="str">
        <f t="shared" si="182"/>
        <v/>
      </c>
      <c r="GU793" s="2579" t="str">
        <f t="shared" si="183"/>
        <v/>
      </c>
      <c r="GV793" s="2579" t="str">
        <f t="shared" si="184"/>
        <v/>
      </c>
      <c r="GW793" s="2579" t="str">
        <f t="shared" si="185"/>
        <v/>
      </c>
      <c r="GX793" s="2579" t="str">
        <f t="shared" si="186"/>
        <v/>
      </c>
      <c r="GY793" s="2579" t="str">
        <f t="shared" si="187"/>
        <v/>
      </c>
      <c r="GZ793" s="2579" t="str">
        <f t="shared" si="188"/>
        <v/>
      </c>
      <c r="HA793" s="2579" t="str">
        <f t="shared" si="189"/>
        <v/>
      </c>
      <c r="HB793" s="2579" t="str">
        <f t="shared" si="190"/>
        <v/>
      </c>
      <c r="HC793" s="2579" t="str">
        <f t="shared" si="191"/>
        <v/>
      </c>
      <c r="HD793" s="2579" t="str">
        <f t="shared" si="192"/>
        <v/>
      </c>
      <c r="HE793" s="2579" t="str">
        <f t="shared" si="193"/>
        <v/>
      </c>
      <c r="HF793" s="2579" t="str">
        <f t="shared" si="194"/>
        <v/>
      </c>
      <c r="HG793" s="2579" t="str">
        <f t="shared" si="195"/>
        <v/>
      </c>
      <c r="HH793" s="2579" t="str">
        <f t="shared" si="196"/>
        <v/>
      </c>
      <c r="HI793" s="2579" t="str">
        <f t="shared" si="197"/>
        <v/>
      </c>
      <c r="HJ793" s="2579" t="str">
        <f t="shared" si="198"/>
        <v/>
      </c>
      <c r="HK793" s="2579" t="str">
        <f t="shared" si="199"/>
        <v/>
      </c>
      <c r="HL793" s="2579" t="str">
        <f t="shared" si="200"/>
        <v/>
      </c>
      <c r="HM793" s="2579" t="str">
        <f t="shared" si="201"/>
        <v/>
      </c>
      <c r="HN793" s="2579" t="str">
        <f t="shared" si="202"/>
        <v/>
      </c>
      <c r="HO793" s="2579" t="str">
        <f t="shared" si="203"/>
        <v/>
      </c>
      <c r="HP793" s="2579" t="str">
        <f t="shared" si="204"/>
        <v/>
      </c>
      <c r="HQ793" s="2579" t="str">
        <f t="shared" si="205"/>
        <v/>
      </c>
      <c r="HR793" s="2579" t="str">
        <f t="shared" si="206"/>
        <v/>
      </c>
      <c r="HS793" s="2579" t="str">
        <f t="shared" si="207"/>
        <v/>
      </c>
      <c r="HT793" s="2579" t="str">
        <f t="shared" si="208"/>
        <v/>
      </c>
      <c r="HU793" s="2579" t="str">
        <f t="shared" si="209"/>
        <v/>
      </c>
      <c r="HV793" s="2579" t="str">
        <f t="shared" si="210"/>
        <v/>
      </c>
      <c r="HW793" s="2579" t="str">
        <f t="shared" si="211"/>
        <v/>
      </c>
      <c r="HX793" s="2579" t="str">
        <f t="shared" si="212"/>
        <v/>
      </c>
      <c r="HY793" s="2579" t="str">
        <f t="shared" si="213"/>
        <v/>
      </c>
      <c r="HZ793" s="2579" t="str">
        <f t="shared" si="214"/>
        <v/>
      </c>
      <c r="IA793" s="2579" t="str">
        <f t="shared" si="215"/>
        <v/>
      </c>
      <c r="IB793" s="2579" t="str">
        <f t="shared" si="216"/>
        <v/>
      </c>
      <c r="IC793" s="2579" t="str">
        <f t="shared" si="217"/>
        <v/>
      </c>
      <c r="ID793" s="2551" t="str">
        <f t="shared" si="218"/>
        <v/>
      </c>
      <c r="IE793" s="2551" t="str">
        <f t="shared" si="219"/>
        <v/>
      </c>
      <c r="IF793" s="2551" t="str">
        <f t="shared" si="220"/>
        <v/>
      </c>
      <c r="IG793" s="2551" t="str">
        <f t="shared" si="221"/>
        <v/>
      </c>
      <c r="IH793" s="2551"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2549">
        <f t="shared" si="243"/>
        <v>0</v>
      </c>
      <c r="JD793" s="2549">
        <f t="shared" si="244"/>
        <v>0</v>
      </c>
      <c r="JE793" s="2549">
        <f t="shared" si="245"/>
        <v>0</v>
      </c>
      <c r="JF793" s="2549">
        <f t="shared" si="246"/>
        <v>0</v>
      </c>
      <c r="JG793" s="2549">
        <f t="shared" si="247"/>
        <v>0</v>
      </c>
      <c r="JH793" s="2549">
        <f t="shared" si="248"/>
        <v>0</v>
      </c>
      <c r="JI793" s="2549">
        <f t="shared" si="249"/>
        <v>0</v>
      </c>
      <c r="JJ793" s="2549">
        <f t="shared" si="250"/>
        <v>0</v>
      </c>
      <c r="JK793" s="2549">
        <f t="shared" si="251"/>
        <v>0</v>
      </c>
      <c r="JL793" s="2549">
        <f t="shared" si="252"/>
        <v>0</v>
      </c>
      <c r="JM793" s="2549">
        <f t="shared" si="253"/>
        <v>0</v>
      </c>
      <c r="JN793" s="2549">
        <f t="shared" si="254"/>
        <v>0</v>
      </c>
      <c r="JO793" s="2549">
        <f t="shared" si="255"/>
        <v>0</v>
      </c>
      <c r="JP793" s="2549">
        <f t="shared" si="256"/>
        <v>0</v>
      </c>
      <c r="JQ793" s="2549">
        <f t="shared" si="257"/>
        <v>0</v>
      </c>
    </row>
    <row r="794" spans="1:277" ht="12" customHeight="1">
      <c r="A794" s="2562" t="str">
        <f t="shared" si="0"/>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1"/>
        <v>0</v>
      </c>
      <c r="L794" s="2576">
        <f t="shared" si="2"/>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2579" t="str">
        <f t="shared" si="133"/>
        <v/>
      </c>
      <c r="EX794" s="2579" t="str">
        <f t="shared" si="134"/>
        <v/>
      </c>
      <c r="EY794" s="2579" t="str">
        <f t="shared" si="135"/>
        <v/>
      </c>
      <c r="EZ794" s="2579" t="str">
        <f t="shared" si="136"/>
        <v/>
      </c>
      <c r="FA794" s="2579" t="str">
        <f t="shared" si="137"/>
        <v/>
      </c>
      <c r="FB794" s="2579" t="str">
        <f t="shared" si="138"/>
        <v/>
      </c>
      <c r="FC794" s="2579" t="str">
        <f t="shared" si="139"/>
        <v/>
      </c>
      <c r="FD794" s="2579" t="str">
        <f t="shared" si="140"/>
        <v/>
      </c>
      <c r="FE794" s="2579" t="str">
        <f t="shared" si="141"/>
        <v/>
      </c>
      <c r="FF794" s="2579" t="str">
        <f t="shared" si="142"/>
        <v/>
      </c>
      <c r="FG794" s="2579" t="str">
        <f t="shared" si="143"/>
        <v/>
      </c>
      <c r="FH794" s="2579" t="str">
        <f t="shared" si="144"/>
        <v/>
      </c>
      <c r="FI794" s="2579" t="str">
        <f t="shared" si="145"/>
        <v/>
      </c>
      <c r="FJ794" s="2579" t="str">
        <f t="shared" si="146"/>
        <v/>
      </c>
      <c r="FK794" s="2579" t="str">
        <f t="shared" si="147"/>
        <v/>
      </c>
      <c r="FL794" s="2579" t="str">
        <f t="shared" si="148"/>
        <v/>
      </c>
      <c r="FM794" s="2579" t="str">
        <f t="shared" si="149"/>
        <v/>
      </c>
      <c r="FN794" s="2579" t="str">
        <f t="shared" si="150"/>
        <v/>
      </c>
      <c r="FO794" s="2579" t="str">
        <f t="shared" si="151"/>
        <v/>
      </c>
      <c r="FP794" s="2579" t="str">
        <f t="shared" si="152"/>
        <v/>
      </c>
      <c r="FQ794" s="2579" t="str">
        <f t="shared" si="153"/>
        <v/>
      </c>
      <c r="FR794" s="2579" t="str">
        <f t="shared" si="154"/>
        <v/>
      </c>
      <c r="FS794" s="2579" t="str">
        <f t="shared" si="155"/>
        <v/>
      </c>
      <c r="FT794" s="2579" t="str">
        <f t="shared" si="156"/>
        <v/>
      </c>
      <c r="FU794" s="2579" t="str">
        <f t="shared" si="157"/>
        <v/>
      </c>
      <c r="FV794" s="2579" t="str">
        <f t="shared" si="158"/>
        <v/>
      </c>
      <c r="FW794" s="2579" t="str">
        <f t="shared" si="159"/>
        <v/>
      </c>
      <c r="FX794" s="2579" t="str">
        <f t="shared" si="160"/>
        <v/>
      </c>
      <c r="FY794" s="2579" t="str">
        <f t="shared" si="161"/>
        <v/>
      </c>
      <c r="FZ794" s="2579" t="str">
        <f t="shared" si="162"/>
        <v/>
      </c>
      <c r="GA794" s="2579" t="str">
        <f t="shared" si="163"/>
        <v/>
      </c>
      <c r="GB794" s="2579" t="str">
        <f t="shared" si="164"/>
        <v/>
      </c>
      <c r="GC794" s="2579" t="str">
        <f t="shared" si="165"/>
        <v/>
      </c>
      <c r="GD794" s="2579" t="str">
        <f t="shared" si="166"/>
        <v/>
      </c>
      <c r="GE794" s="2579" t="str">
        <f t="shared" si="167"/>
        <v/>
      </c>
      <c r="GF794" s="2579" t="str">
        <f t="shared" si="168"/>
        <v/>
      </c>
      <c r="GG794" s="2579" t="str">
        <f t="shared" si="169"/>
        <v/>
      </c>
      <c r="GH794" s="2579" t="str">
        <f t="shared" si="170"/>
        <v/>
      </c>
      <c r="GI794" s="2579" t="str">
        <f t="shared" si="171"/>
        <v/>
      </c>
      <c r="GJ794" s="2579" t="str">
        <f t="shared" si="172"/>
        <v/>
      </c>
      <c r="GK794" s="2579" t="str">
        <f t="shared" si="173"/>
        <v/>
      </c>
      <c r="GL794" s="2579" t="str">
        <f t="shared" si="174"/>
        <v/>
      </c>
      <c r="GM794" s="2579" t="str">
        <f t="shared" si="175"/>
        <v/>
      </c>
      <c r="GN794" s="2579" t="str">
        <f t="shared" si="176"/>
        <v/>
      </c>
      <c r="GO794" s="2579" t="str">
        <f t="shared" si="177"/>
        <v/>
      </c>
      <c r="GP794" s="2579" t="str">
        <f t="shared" si="178"/>
        <v/>
      </c>
      <c r="GQ794" s="2579" t="str">
        <f t="shared" si="179"/>
        <v/>
      </c>
      <c r="GR794" s="2579" t="str">
        <f t="shared" si="180"/>
        <v/>
      </c>
      <c r="GS794" s="2579" t="str">
        <f t="shared" si="181"/>
        <v/>
      </c>
      <c r="GT794" s="2579" t="str">
        <f t="shared" si="182"/>
        <v/>
      </c>
      <c r="GU794" s="2579" t="str">
        <f t="shared" si="183"/>
        <v/>
      </c>
      <c r="GV794" s="2579" t="str">
        <f t="shared" si="184"/>
        <v/>
      </c>
      <c r="GW794" s="2579" t="str">
        <f t="shared" si="185"/>
        <v/>
      </c>
      <c r="GX794" s="2579" t="str">
        <f t="shared" si="186"/>
        <v/>
      </c>
      <c r="GY794" s="2579" t="str">
        <f t="shared" si="187"/>
        <v/>
      </c>
      <c r="GZ794" s="2579" t="str">
        <f t="shared" si="188"/>
        <v/>
      </c>
      <c r="HA794" s="2579" t="str">
        <f t="shared" si="189"/>
        <v/>
      </c>
      <c r="HB794" s="2579" t="str">
        <f t="shared" si="190"/>
        <v/>
      </c>
      <c r="HC794" s="2579" t="str">
        <f t="shared" si="191"/>
        <v/>
      </c>
      <c r="HD794" s="2579" t="str">
        <f t="shared" si="192"/>
        <v/>
      </c>
      <c r="HE794" s="2579" t="str">
        <f t="shared" si="193"/>
        <v/>
      </c>
      <c r="HF794" s="2579" t="str">
        <f t="shared" si="194"/>
        <v/>
      </c>
      <c r="HG794" s="2579" t="str">
        <f t="shared" si="195"/>
        <v/>
      </c>
      <c r="HH794" s="2579" t="str">
        <f t="shared" si="196"/>
        <v/>
      </c>
      <c r="HI794" s="2579" t="str">
        <f t="shared" si="197"/>
        <v/>
      </c>
      <c r="HJ794" s="2579" t="str">
        <f t="shared" si="198"/>
        <v/>
      </c>
      <c r="HK794" s="2579" t="str">
        <f t="shared" si="199"/>
        <v/>
      </c>
      <c r="HL794" s="2579" t="str">
        <f t="shared" si="200"/>
        <v/>
      </c>
      <c r="HM794" s="2579" t="str">
        <f t="shared" si="201"/>
        <v/>
      </c>
      <c r="HN794" s="2579" t="str">
        <f t="shared" si="202"/>
        <v/>
      </c>
      <c r="HO794" s="2579" t="str">
        <f t="shared" si="203"/>
        <v/>
      </c>
      <c r="HP794" s="2579" t="str">
        <f t="shared" si="204"/>
        <v/>
      </c>
      <c r="HQ794" s="2579" t="str">
        <f t="shared" si="205"/>
        <v/>
      </c>
      <c r="HR794" s="2579" t="str">
        <f t="shared" si="206"/>
        <v/>
      </c>
      <c r="HS794" s="2579" t="str">
        <f t="shared" si="207"/>
        <v/>
      </c>
      <c r="HT794" s="2579" t="str">
        <f t="shared" si="208"/>
        <v/>
      </c>
      <c r="HU794" s="2579" t="str">
        <f t="shared" si="209"/>
        <v/>
      </c>
      <c r="HV794" s="2579" t="str">
        <f t="shared" si="210"/>
        <v/>
      </c>
      <c r="HW794" s="2579" t="str">
        <f t="shared" si="211"/>
        <v/>
      </c>
      <c r="HX794" s="2579" t="str">
        <f t="shared" si="212"/>
        <v/>
      </c>
      <c r="HY794" s="2579" t="str">
        <f t="shared" si="213"/>
        <v/>
      </c>
      <c r="HZ794" s="2579" t="str">
        <f t="shared" si="214"/>
        <v/>
      </c>
      <c r="IA794" s="2579" t="str">
        <f t="shared" si="215"/>
        <v/>
      </c>
      <c r="IB794" s="2579" t="str">
        <f t="shared" si="216"/>
        <v/>
      </c>
      <c r="IC794" s="2579" t="str">
        <f t="shared" si="217"/>
        <v/>
      </c>
      <c r="ID794" s="2551" t="str">
        <f t="shared" si="218"/>
        <v/>
      </c>
      <c r="IE794" s="2551" t="str">
        <f t="shared" si="219"/>
        <v/>
      </c>
      <c r="IF794" s="2551" t="str">
        <f t="shared" si="220"/>
        <v/>
      </c>
      <c r="IG794" s="2551" t="str">
        <f t="shared" si="221"/>
        <v/>
      </c>
      <c r="IH794" s="2551"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2549">
        <f t="shared" si="243"/>
        <v>0</v>
      </c>
      <c r="JD794" s="2549">
        <f t="shared" si="244"/>
        <v>0</v>
      </c>
      <c r="JE794" s="2549">
        <f t="shared" si="245"/>
        <v>0</v>
      </c>
      <c r="JF794" s="2549">
        <f t="shared" si="246"/>
        <v>0</v>
      </c>
      <c r="JG794" s="2549">
        <f t="shared" si="247"/>
        <v>0</v>
      </c>
      <c r="JH794" s="2549">
        <f t="shared" si="248"/>
        <v>0</v>
      </c>
      <c r="JI794" s="2549">
        <f t="shared" si="249"/>
        <v>0</v>
      </c>
      <c r="JJ794" s="2549">
        <f t="shared" si="250"/>
        <v>0</v>
      </c>
      <c r="JK794" s="2549">
        <f t="shared" si="251"/>
        <v>0</v>
      </c>
      <c r="JL794" s="2549">
        <f t="shared" si="252"/>
        <v>0</v>
      </c>
      <c r="JM794" s="2549">
        <f t="shared" si="253"/>
        <v>0</v>
      </c>
      <c r="JN794" s="2549">
        <f t="shared" si="254"/>
        <v>0</v>
      </c>
      <c r="JO794" s="2549">
        <f t="shared" si="255"/>
        <v>0</v>
      </c>
      <c r="JP794" s="2549">
        <f t="shared" si="256"/>
        <v>0</v>
      </c>
      <c r="JQ794" s="2549">
        <f t="shared" si="257"/>
        <v>0</v>
      </c>
    </row>
    <row r="795" spans="1:277" ht="12" customHeight="1">
      <c r="A795" s="2562" t="str">
        <f t="shared" si="0"/>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1"/>
        <v>0</v>
      </c>
      <c r="L795" s="2576">
        <f t="shared" si="2"/>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2579" t="str">
        <f t="shared" si="133"/>
        <v/>
      </c>
      <c r="EX795" s="2579" t="str">
        <f t="shared" si="134"/>
        <v/>
      </c>
      <c r="EY795" s="2579" t="str">
        <f t="shared" si="135"/>
        <v/>
      </c>
      <c r="EZ795" s="2579" t="str">
        <f t="shared" si="136"/>
        <v/>
      </c>
      <c r="FA795" s="2579" t="str">
        <f t="shared" si="137"/>
        <v/>
      </c>
      <c r="FB795" s="2579" t="str">
        <f t="shared" si="138"/>
        <v/>
      </c>
      <c r="FC795" s="2579" t="str">
        <f t="shared" si="139"/>
        <v/>
      </c>
      <c r="FD795" s="2579" t="str">
        <f t="shared" si="140"/>
        <v/>
      </c>
      <c r="FE795" s="2579" t="str">
        <f t="shared" si="141"/>
        <v/>
      </c>
      <c r="FF795" s="2579" t="str">
        <f t="shared" si="142"/>
        <v/>
      </c>
      <c r="FG795" s="2579" t="str">
        <f t="shared" si="143"/>
        <v/>
      </c>
      <c r="FH795" s="2579" t="str">
        <f t="shared" si="144"/>
        <v/>
      </c>
      <c r="FI795" s="2579" t="str">
        <f t="shared" si="145"/>
        <v/>
      </c>
      <c r="FJ795" s="2579" t="str">
        <f t="shared" si="146"/>
        <v/>
      </c>
      <c r="FK795" s="2579" t="str">
        <f t="shared" si="147"/>
        <v/>
      </c>
      <c r="FL795" s="2579" t="str">
        <f t="shared" si="148"/>
        <v/>
      </c>
      <c r="FM795" s="2579" t="str">
        <f t="shared" si="149"/>
        <v/>
      </c>
      <c r="FN795" s="2579" t="str">
        <f t="shared" si="150"/>
        <v/>
      </c>
      <c r="FO795" s="2579" t="str">
        <f t="shared" si="151"/>
        <v/>
      </c>
      <c r="FP795" s="2579" t="str">
        <f t="shared" si="152"/>
        <v/>
      </c>
      <c r="FQ795" s="2579" t="str">
        <f t="shared" si="153"/>
        <v/>
      </c>
      <c r="FR795" s="2579" t="str">
        <f t="shared" si="154"/>
        <v/>
      </c>
      <c r="FS795" s="2579" t="str">
        <f t="shared" si="155"/>
        <v/>
      </c>
      <c r="FT795" s="2579" t="str">
        <f t="shared" si="156"/>
        <v/>
      </c>
      <c r="FU795" s="2579" t="str">
        <f t="shared" si="157"/>
        <v/>
      </c>
      <c r="FV795" s="2579" t="str">
        <f t="shared" si="158"/>
        <v/>
      </c>
      <c r="FW795" s="2579" t="str">
        <f t="shared" si="159"/>
        <v/>
      </c>
      <c r="FX795" s="2579" t="str">
        <f t="shared" si="160"/>
        <v/>
      </c>
      <c r="FY795" s="2579" t="str">
        <f t="shared" si="161"/>
        <v/>
      </c>
      <c r="FZ795" s="2579" t="str">
        <f t="shared" si="162"/>
        <v/>
      </c>
      <c r="GA795" s="2579" t="str">
        <f t="shared" si="163"/>
        <v/>
      </c>
      <c r="GB795" s="2579" t="str">
        <f t="shared" si="164"/>
        <v/>
      </c>
      <c r="GC795" s="2579" t="str">
        <f t="shared" si="165"/>
        <v/>
      </c>
      <c r="GD795" s="2579" t="str">
        <f t="shared" si="166"/>
        <v/>
      </c>
      <c r="GE795" s="2579" t="str">
        <f t="shared" si="167"/>
        <v/>
      </c>
      <c r="GF795" s="2579" t="str">
        <f t="shared" si="168"/>
        <v/>
      </c>
      <c r="GG795" s="2579" t="str">
        <f t="shared" si="169"/>
        <v/>
      </c>
      <c r="GH795" s="2579" t="str">
        <f t="shared" si="170"/>
        <v/>
      </c>
      <c r="GI795" s="2579" t="str">
        <f t="shared" si="171"/>
        <v/>
      </c>
      <c r="GJ795" s="2579" t="str">
        <f t="shared" si="172"/>
        <v/>
      </c>
      <c r="GK795" s="2579" t="str">
        <f t="shared" si="173"/>
        <v/>
      </c>
      <c r="GL795" s="2579" t="str">
        <f t="shared" si="174"/>
        <v/>
      </c>
      <c r="GM795" s="2579" t="str">
        <f t="shared" si="175"/>
        <v/>
      </c>
      <c r="GN795" s="2579" t="str">
        <f t="shared" si="176"/>
        <v/>
      </c>
      <c r="GO795" s="2579" t="str">
        <f t="shared" si="177"/>
        <v/>
      </c>
      <c r="GP795" s="2579" t="str">
        <f t="shared" si="178"/>
        <v/>
      </c>
      <c r="GQ795" s="2579" t="str">
        <f t="shared" si="179"/>
        <v/>
      </c>
      <c r="GR795" s="2579" t="str">
        <f t="shared" si="180"/>
        <v/>
      </c>
      <c r="GS795" s="2579" t="str">
        <f t="shared" si="181"/>
        <v/>
      </c>
      <c r="GT795" s="2579" t="str">
        <f t="shared" si="182"/>
        <v/>
      </c>
      <c r="GU795" s="2579" t="str">
        <f t="shared" si="183"/>
        <v/>
      </c>
      <c r="GV795" s="2579" t="str">
        <f t="shared" si="184"/>
        <v/>
      </c>
      <c r="GW795" s="2579" t="str">
        <f t="shared" si="185"/>
        <v/>
      </c>
      <c r="GX795" s="2579" t="str">
        <f t="shared" si="186"/>
        <v/>
      </c>
      <c r="GY795" s="2579" t="str">
        <f t="shared" si="187"/>
        <v/>
      </c>
      <c r="GZ795" s="2579" t="str">
        <f t="shared" si="188"/>
        <v/>
      </c>
      <c r="HA795" s="2579" t="str">
        <f t="shared" si="189"/>
        <v/>
      </c>
      <c r="HB795" s="2579" t="str">
        <f t="shared" si="190"/>
        <v/>
      </c>
      <c r="HC795" s="2579" t="str">
        <f t="shared" si="191"/>
        <v/>
      </c>
      <c r="HD795" s="2579" t="str">
        <f t="shared" si="192"/>
        <v/>
      </c>
      <c r="HE795" s="2579" t="str">
        <f t="shared" si="193"/>
        <v/>
      </c>
      <c r="HF795" s="2579" t="str">
        <f t="shared" si="194"/>
        <v/>
      </c>
      <c r="HG795" s="2579" t="str">
        <f t="shared" si="195"/>
        <v/>
      </c>
      <c r="HH795" s="2579" t="str">
        <f t="shared" si="196"/>
        <v/>
      </c>
      <c r="HI795" s="2579" t="str">
        <f t="shared" si="197"/>
        <v/>
      </c>
      <c r="HJ795" s="2579" t="str">
        <f t="shared" si="198"/>
        <v/>
      </c>
      <c r="HK795" s="2579" t="str">
        <f t="shared" si="199"/>
        <v/>
      </c>
      <c r="HL795" s="2579" t="str">
        <f t="shared" si="200"/>
        <v/>
      </c>
      <c r="HM795" s="2579" t="str">
        <f t="shared" si="201"/>
        <v/>
      </c>
      <c r="HN795" s="2579" t="str">
        <f t="shared" si="202"/>
        <v/>
      </c>
      <c r="HO795" s="2579" t="str">
        <f t="shared" si="203"/>
        <v/>
      </c>
      <c r="HP795" s="2579" t="str">
        <f t="shared" si="204"/>
        <v/>
      </c>
      <c r="HQ795" s="2579" t="str">
        <f t="shared" si="205"/>
        <v/>
      </c>
      <c r="HR795" s="2579" t="str">
        <f t="shared" si="206"/>
        <v/>
      </c>
      <c r="HS795" s="2579" t="str">
        <f t="shared" si="207"/>
        <v/>
      </c>
      <c r="HT795" s="2579" t="str">
        <f t="shared" si="208"/>
        <v/>
      </c>
      <c r="HU795" s="2579" t="str">
        <f t="shared" si="209"/>
        <v/>
      </c>
      <c r="HV795" s="2579" t="str">
        <f t="shared" si="210"/>
        <v/>
      </c>
      <c r="HW795" s="2579" t="str">
        <f t="shared" si="211"/>
        <v/>
      </c>
      <c r="HX795" s="2579" t="str">
        <f t="shared" si="212"/>
        <v/>
      </c>
      <c r="HY795" s="2579" t="str">
        <f t="shared" si="213"/>
        <v/>
      </c>
      <c r="HZ795" s="2579" t="str">
        <f t="shared" si="214"/>
        <v/>
      </c>
      <c r="IA795" s="2579" t="str">
        <f t="shared" si="215"/>
        <v/>
      </c>
      <c r="IB795" s="2579" t="str">
        <f t="shared" si="216"/>
        <v/>
      </c>
      <c r="IC795" s="2579" t="str">
        <f t="shared" si="217"/>
        <v/>
      </c>
      <c r="ID795" s="2551" t="str">
        <f t="shared" si="218"/>
        <v/>
      </c>
      <c r="IE795" s="2551" t="str">
        <f t="shared" si="219"/>
        <v/>
      </c>
      <c r="IF795" s="2551" t="str">
        <f t="shared" si="220"/>
        <v/>
      </c>
      <c r="IG795" s="2551" t="str">
        <f t="shared" si="221"/>
        <v/>
      </c>
      <c r="IH795" s="2551"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2549">
        <f t="shared" si="243"/>
        <v>0</v>
      </c>
      <c r="JD795" s="2549">
        <f t="shared" si="244"/>
        <v>0</v>
      </c>
      <c r="JE795" s="2549">
        <f t="shared" si="245"/>
        <v>0</v>
      </c>
      <c r="JF795" s="2549">
        <f t="shared" si="246"/>
        <v>0</v>
      </c>
      <c r="JG795" s="2549">
        <f t="shared" si="247"/>
        <v>0</v>
      </c>
      <c r="JH795" s="2549">
        <f t="shared" si="248"/>
        <v>0</v>
      </c>
      <c r="JI795" s="2549">
        <f t="shared" si="249"/>
        <v>0</v>
      </c>
      <c r="JJ795" s="2549">
        <f t="shared" si="250"/>
        <v>0</v>
      </c>
      <c r="JK795" s="2549">
        <f t="shared" si="251"/>
        <v>0</v>
      </c>
      <c r="JL795" s="2549">
        <f t="shared" si="252"/>
        <v>0</v>
      </c>
      <c r="JM795" s="2549">
        <f t="shared" si="253"/>
        <v>0</v>
      </c>
      <c r="JN795" s="2549">
        <f t="shared" si="254"/>
        <v>0</v>
      </c>
      <c r="JO795" s="2549">
        <f t="shared" si="255"/>
        <v>0</v>
      </c>
      <c r="JP795" s="2549">
        <f t="shared" si="256"/>
        <v>0</v>
      </c>
      <c r="JQ795" s="2549">
        <f t="shared" si="257"/>
        <v>0</v>
      </c>
    </row>
    <row r="796" spans="1:277" ht="12" customHeight="1">
      <c r="A796" s="2562" t="str">
        <f t="shared" si="0"/>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1"/>
        <v>0</v>
      </c>
      <c r="L796" s="2576">
        <f t="shared" si="2"/>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2579" t="str">
        <f t="shared" si="133"/>
        <v/>
      </c>
      <c r="EX796" s="2579" t="str">
        <f t="shared" si="134"/>
        <v/>
      </c>
      <c r="EY796" s="2579" t="str">
        <f t="shared" si="135"/>
        <v/>
      </c>
      <c r="EZ796" s="2579" t="str">
        <f t="shared" si="136"/>
        <v/>
      </c>
      <c r="FA796" s="2579" t="str">
        <f t="shared" si="137"/>
        <v/>
      </c>
      <c r="FB796" s="2579" t="str">
        <f t="shared" si="138"/>
        <v/>
      </c>
      <c r="FC796" s="2579" t="str">
        <f t="shared" si="139"/>
        <v/>
      </c>
      <c r="FD796" s="2579" t="str">
        <f t="shared" si="140"/>
        <v/>
      </c>
      <c r="FE796" s="2579" t="str">
        <f t="shared" si="141"/>
        <v/>
      </c>
      <c r="FF796" s="2579" t="str">
        <f t="shared" si="142"/>
        <v/>
      </c>
      <c r="FG796" s="2579" t="str">
        <f t="shared" si="143"/>
        <v/>
      </c>
      <c r="FH796" s="2579" t="str">
        <f t="shared" si="144"/>
        <v/>
      </c>
      <c r="FI796" s="2579" t="str">
        <f t="shared" si="145"/>
        <v/>
      </c>
      <c r="FJ796" s="2579" t="str">
        <f t="shared" si="146"/>
        <v/>
      </c>
      <c r="FK796" s="2579" t="str">
        <f t="shared" si="147"/>
        <v/>
      </c>
      <c r="FL796" s="2579" t="str">
        <f t="shared" si="148"/>
        <v/>
      </c>
      <c r="FM796" s="2579" t="str">
        <f t="shared" si="149"/>
        <v/>
      </c>
      <c r="FN796" s="2579" t="str">
        <f t="shared" si="150"/>
        <v/>
      </c>
      <c r="FO796" s="2579" t="str">
        <f t="shared" si="151"/>
        <v/>
      </c>
      <c r="FP796" s="2579" t="str">
        <f t="shared" si="152"/>
        <v/>
      </c>
      <c r="FQ796" s="2579" t="str">
        <f t="shared" si="153"/>
        <v/>
      </c>
      <c r="FR796" s="2579" t="str">
        <f t="shared" si="154"/>
        <v/>
      </c>
      <c r="FS796" s="2579" t="str">
        <f t="shared" si="155"/>
        <v/>
      </c>
      <c r="FT796" s="2579" t="str">
        <f t="shared" si="156"/>
        <v/>
      </c>
      <c r="FU796" s="2579" t="str">
        <f t="shared" si="157"/>
        <v/>
      </c>
      <c r="FV796" s="2579" t="str">
        <f t="shared" si="158"/>
        <v/>
      </c>
      <c r="FW796" s="2579" t="str">
        <f t="shared" si="159"/>
        <v/>
      </c>
      <c r="FX796" s="2579" t="str">
        <f t="shared" si="160"/>
        <v/>
      </c>
      <c r="FY796" s="2579" t="str">
        <f t="shared" si="161"/>
        <v/>
      </c>
      <c r="FZ796" s="2579" t="str">
        <f t="shared" si="162"/>
        <v/>
      </c>
      <c r="GA796" s="2579" t="str">
        <f t="shared" si="163"/>
        <v/>
      </c>
      <c r="GB796" s="2579" t="str">
        <f t="shared" si="164"/>
        <v/>
      </c>
      <c r="GC796" s="2579" t="str">
        <f t="shared" si="165"/>
        <v/>
      </c>
      <c r="GD796" s="2579" t="str">
        <f t="shared" si="166"/>
        <v/>
      </c>
      <c r="GE796" s="2579" t="str">
        <f t="shared" si="167"/>
        <v/>
      </c>
      <c r="GF796" s="2579" t="str">
        <f t="shared" si="168"/>
        <v/>
      </c>
      <c r="GG796" s="2579" t="str">
        <f t="shared" si="169"/>
        <v/>
      </c>
      <c r="GH796" s="2579" t="str">
        <f t="shared" si="170"/>
        <v/>
      </c>
      <c r="GI796" s="2579" t="str">
        <f t="shared" si="171"/>
        <v/>
      </c>
      <c r="GJ796" s="2579" t="str">
        <f t="shared" si="172"/>
        <v/>
      </c>
      <c r="GK796" s="2579" t="str">
        <f t="shared" si="173"/>
        <v/>
      </c>
      <c r="GL796" s="2579" t="str">
        <f t="shared" si="174"/>
        <v/>
      </c>
      <c r="GM796" s="2579" t="str">
        <f t="shared" si="175"/>
        <v/>
      </c>
      <c r="GN796" s="2579" t="str">
        <f t="shared" si="176"/>
        <v/>
      </c>
      <c r="GO796" s="2579" t="str">
        <f t="shared" si="177"/>
        <v/>
      </c>
      <c r="GP796" s="2579" t="str">
        <f t="shared" si="178"/>
        <v/>
      </c>
      <c r="GQ796" s="2579" t="str">
        <f t="shared" si="179"/>
        <v/>
      </c>
      <c r="GR796" s="2579" t="str">
        <f t="shared" si="180"/>
        <v/>
      </c>
      <c r="GS796" s="2579" t="str">
        <f t="shared" si="181"/>
        <v/>
      </c>
      <c r="GT796" s="2579" t="str">
        <f t="shared" si="182"/>
        <v/>
      </c>
      <c r="GU796" s="2579" t="str">
        <f t="shared" si="183"/>
        <v/>
      </c>
      <c r="GV796" s="2579" t="str">
        <f t="shared" si="184"/>
        <v/>
      </c>
      <c r="GW796" s="2579" t="str">
        <f t="shared" si="185"/>
        <v/>
      </c>
      <c r="GX796" s="2579" t="str">
        <f t="shared" si="186"/>
        <v/>
      </c>
      <c r="GY796" s="2579" t="str">
        <f t="shared" si="187"/>
        <v/>
      </c>
      <c r="GZ796" s="2579" t="str">
        <f t="shared" si="188"/>
        <v/>
      </c>
      <c r="HA796" s="2579" t="str">
        <f t="shared" si="189"/>
        <v/>
      </c>
      <c r="HB796" s="2579" t="str">
        <f t="shared" si="190"/>
        <v/>
      </c>
      <c r="HC796" s="2579" t="str">
        <f t="shared" si="191"/>
        <v/>
      </c>
      <c r="HD796" s="2579" t="str">
        <f t="shared" si="192"/>
        <v/>
      </c>
      <c r="HE796" s="2579" t="str">
        <f t="shared" si="193"/>
        <v/>
      </c>
      <c r="HF796" s="2579" t="str">
        <f t="shared" si="194"/>
        <v/>
      </c>
      <c r="HG796" s="2579" t="str">
        <f t="shared" si="195"/>
        <v/>
      </c>
      <c r="HH796" s="2579" t="str">
        <f t="shared" si="196"/>
        <v/>
      </c>
      <c r="HI796" s="2579" t="str">
        <f t="shared" si="197"/>
        <v/>
      </c>
      <c r="HJ796" s="2579" t="str">
        <f t="shared" si="198"/>
        <v/>
      </c>
      <c r="HK796" s="2579" t="str">
        <f t="shared" si="199"/>
        <v/>
      </c>
      <c r="HL796" s="2579" t="str">
        <f t="shared" si="200"/>
        <v/>
      </c>
      <c r="HM796" s="2579" t="str">
        <f t="shared" si="201"/>
        <v/>
      </c>
      <c r="HN796" s="2579" t="str">
        <f t="shared" si="202"/>
        <v/>
      </c>
      <c r="HO796" s="2579" t="str">
        <f t="shared" si="203"/>
        <v/>
      </c>
      <c r="HP796" s="2579" t="str">
        <f t="shared" si="204"/>
        <v/>
      </c>
      <c r="HQ796" s="2579" t="str">
        <f t="shared" si="205"/>
        <v/>
      </c>
      <c r="HR796" s="2579" t="str">
        <f t="shared" si="206"/>
        <v/>
      </c>
      <c r="HS796" s="2579" t="str">
        <f t="shared" si="207"/>
        <v/>
      </c>
      <c r="HT796" s="2579" t="str">
        <f t="shared" si="208"/>
        <v/>
      </c>
      <c r="HU796" s="2579" t="str">
        <f t="shared" si="209"/>
        <v/>
      </c>
      <c r="HV796" s="2579" t="str">
        <f t="shared" si="210"/>
        <v/>
      </c>
      <c r="HW796" s="2579" t="str">
        <f t="shared" si="211"/>
        <v/>
      </c>
      <c r="HX796" s="2579" t="str">
        <f t="shared" si="212"/>
        <v/>
      </c>
      <c r="HY796" s="2579" t="str">
        <f t="shared" si="213"/>
        <v/>
      </c>
      <c r="HZ796" s="2579" t="str">
        <f t="shared" si="214"/>
        <v/>
      </c>
      <c r="IA796" s="2579" t="str">
        <f t="shared" si="215"/>
        <v/>
      </c>
      <c r="IB796" s="2579" t="str">
        <f t="shared" si="216"/>
        <v/>
      </c>
      <c r="IC796" s="2579" t="str">
        <f t="shared" si="217"/>
        <v/>
      </c>
      <c r="ID796" s="2551" t="str">
        <f t="shared" si="218"/>
        <v/>
      </c>
      <c r="IE796" s="2551" t="str">
        <f t="shared" si="219"/>
        <v/>
      </c>
      <c r="IF796" s="2551" t="str">
        <f t="shared" si="220"/>
        <v/>
      </c>
      <c r="IG796" s="2551" t="str">
        <f t="shared" si="221"/>
        <v/>
      </c>
      <c r="IH796" s="2551"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2549">
        <f t="shared" si="243"/>
        <v>0</v>
      </c>
      <c r="JD796" s="2549">
        <f t="shared" si="244"/>
        <v>0</v>
      </c>
      <c r="JE796" s="2549">
        <f t="shared" si="245"/>
        <v>0</v>
      </c>
      <c r="JF796" s="2549">
        <f t="shared" si="246"/>
        <v>0</v>
      </c>
      <c r="JG796" s="2549">
        <f t="shared" si="247"/>
        <v>0</v>
      </c>
      <c r="JH796" s="2549">
        <f t="shared" si="248"/>
        <v>0</v>
      </c>
      <c r="JI796" s="2549">
        <f t="shared" si="249"/>
        <v>0</v>
      </c>
      <c r="JJ796" s="2549">
        <f t="shared" si="250"/>
        <v>0</v>
      </c>
      <c r="JK796" s="2549">
        <f t="shared" si="251"/>
        <v>0</v>
      </c>
      <c r="JL796" s="2549">
        <f t="shared" si="252"/>
        <v>0</v>
      </c>
      <c r="JM796" s="2549">
        <f t="shared" si="253"/>
        <v>0</v>
      </c>
      <c r="JN796" s="2549">
        <f t="shared" si="254"/>
        <v>0</v>
      </c>
      <c r="JO796" s="2549">
        <f t="shared" si="255"/>
        <v>0</v>
      </c>
      <c r="JP796" s="2549">
        <f t="shared" si="256"/>
        <v>0</v>
      </c>
      <c r="JQ796" s="2549">
        <f t="shared" si="257"/>
        <v>0</v>
      </c>
    </row>
    <row r="797" spans="1:277" ht="12" customHeight="1">
      <c r="A797" s="2562" t="str">
        <f t="shared" si="0"/>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1"/>
        <v>0</v>
      </c>
      <c r="L797" s="2576">
        <f t="shared" si="2"/>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2579" t="str">
        <f t="shared" si="133"/>
        <v/>
      </c>
      <c r="EX797" s="2579" t="str">
        <f t="shared" si="134"/>
        <v/>
      </c>
      <c r="EY797" s="2579" t="str">
        <f t="shared" si="135"/>
        <v/>
      </c>
      <c r="EZ797" s="2579" t="str">
        <f t="shared" si="136"/>
        <v/>
      </c>
      <c r="FA797" s="2579" t="str">
        <f t="shared" si="137"/>
        <v/>
      </c>
      <c r="FB797" s="2579" t="str">
        <f t="shared" si="138"/>
        <v/>
      </c>
      <c r="FC797" s="2579" t="str">
        <f t="shared" si="139"/>
        <v/>
      </c>
      <c r="FD797" s="2579" t="str">
        <f t="shared" si="140"/>
        <v/>
      </c>
      <c r="FE797" s="2579" t="str">
        <f t="shared" si="141"/>
        <v/>
      </c>
      <c r="FF797" s="2579" t="str">
        <f t="shared" si="142"/>
        <v/>
      </c>
      <c r="FG797" s="2579" t="str">
        <f t="shared" si="143"/>
        <v/>
      </c>
      <c r="FH797" s="2579" t="str">
        <f t="shared" si="144"/>
        <v/>
      </c>
      <c r="FI797" s="2579" t="str">
        <f t="shared" si="145"/>
        <v/>
      </c>
      <c r="FJ797" s="2579" t="str">
        <f t="shared" si="146"/>
        <v/>
      </c>
      <c r="FK797" s="2579" t="str">
        <f t="shared" si="147"/>
        <v/>
      </c>
      <c r="FL797" s="2579" t="str">
        <f t="shared" si="148"/>
        <v/>
      </c>
      <c r="FM797" s="2579" t="str">
        <f t="shared" si="149"/>
        <v/>
      </c>
      <c r="FN797" s="2579" t="str">
        <f t="shared" si="150"/>
        <v/>
      </c>
      <c r="FO797" s="2579" t="str">
        <f t="shared" si="151"/>
        <v/>
      </c>
      <c r="FP797" s="2579" t="str">
        <f t="shared" si="152"/>
        <v/>
      </c>
      <c r="FQ797" s="2579" t="str">
        <f t="shared" si="153"/>
        <v/>
      </c>
      <c r="FR797" s="2579" t="str">
        <f t="shared" si="154"/>
        <v/>
      </c>
      <c r="FS797" s="2579" t="str">
        <f t="shared" si="155"/>
        <v/>
      </c>
      <c r="FT797" s="2579" t="str">
        <f t="shared" si="156"/>
        <v/>
      </c>
      <c r="FU797" s="2579" t="str">
        <f t="shared" si="157"/>
        <v/>
      </c>
      <c r="FV797" s="2579" t="str">
        <f t="shared" si="158"/>
        <v/>
      </c>
      <c r="FW797" s="2579" t="str">
        <f t="shared" si="159"/>
        <v/>
      </c>
      <c r="FX797" s="2579" t="str">
        <f t="shared" si="160"/>
        <v/>
      </c>
      <c r="FY797" s="2579" t="str">
        <f t="shared" si="161"/>
        <v/>
      </c>
      <c r="FZ797" s="2579" t="str">
        <f t="shared" si="162"/>
        <v/>
      </c>
      <c r="GA797" s="2579" t="str">
        <f t="shared" si="163"/>
        <v/>
      </c>
      <c r="GB797" s="2579" t="str">
        <f t="shared" si="164"/>
        <v/>
      </c>
      <c r="GC797" s="2579" t="str">
        <f t="shared" si="165"/>
        <v/>
      </c>
      <c r="GD797" s="2579" t="str">
        <f t="shared" si="166"/>
        <v/>
      </c>
      <c r="GE797" s="2579" t="str">
        <f t="shared" si="167"/>
        <v/>
      </c>
      <c r="GF797" s="2579" t="str">
        <f t="shared" si="168"/>
        <v/>
      </c>
      <c r="GG797" s="2579" t="str">
        <f t="shared" si="169"/>
        <v/>
      </c>
      <c r="GH797" s="2579" t="str">
        <f t="shared" si="170"/>
        <v/>
      </c>
      <c r="GI797" s="2579" t="str">
        <f t="shared" si="171"/>
        <v/>
      </c>
      <c r="GJ797" s="2579" t="str">
        <f t="shared" si="172"/>
        <v/>
      </c>
      <c r="GK797" s="2579" t="str">
        <f t="shared" si="173"/>
        <v/>
      </c>
      <c r="GL797" s="2579" t="str">
        <f t="shared" si="174"/>
        <v/>
      </c>
      <c r="GM797" s="2579" t="str">
        <f t="shared" si="175"/>
        <v/>
      </c>
      <c r="GN797" s="2579" t="str">
        <f t="shared" si="176"/>
        <v/>
      </c>
      <c r="GO797" s="2579" t="str">
        <f t="shared" si="177"/>
        <v/>
      </c>
      <c r="GP797" s="2579" t="str">
        <f t="shared" si="178"/>
        <v/>
      </c>
      <c r="GQ797" s="2579" t="str">
        <f t="shared" si="179"/>
        <v/>
      </c>
      <c r="GR797" s="2579" t="str">
        <f t="shared" si="180"/>
        <v/>
      </c>
      <c r="GS797" s="2579" t="str">
        <f t="shared" si="181"/>
        <v/>
      </c>
      <c r="GT797" s="2579" t="str">
        <f t="shared" si="182"/>
        <v/>
      </c>
      <c r="GU797" s="2579" t="str">
        <f t="shared" si="183"/>
        <v/>
      </c>
      <c r="GV797" s="2579" t="str">
        <f t="shared" si="184"/>
        <v/>
      </c>
      <c r="GW797" s="2579" t="str">
        <f t="shared" si="185"/>
        <v/>
      </c>
      <c r="GX797" s="2579" t="str">
        <f t="shared" si="186"/>
        <v/>
      </c>
      <c r="GY797" s="2579" t="str">
        <f t="shared" si="187"/>
        <v/>
      </c>
      <c r="GZ797" s="2579" t="str">
        <f t="shared" si="188"/>
        <v/>
      </c>
      <c r="HA797" s="2579" t="str">
        <f t="shared" si="189"/>
        <v/>
      </c>
      <c r="HB797" s="2579" t="str">
        <f t="shared" si="190"/>
        <v/>
      </c>
      <c r="HC797" s="2579" t="str">
        <f t="shared" si="191"/>
        <v/>
      </c>
      <c r="HD797" s="2579" t="str">
        <f t="shared" si="192"/>
        <v/>
      </c>
      <c r="HE797" s="2579" t="str">
        <f t="shared" si="193"/>
        <v/>
      </c>
      <c r="HF797" s="2579" t="str">
        <f t="shared" si="194"/>
        <v/>
      </c>
      <c r="HG797" s="2579" t="str">
        <f t="shared" si="195"/>
        <v/>
      </c>
      <c r="HH797" s="2579" t="str">
        <f t="shared" si="196"/>
        <v/>
      </c>
      <c r="HI797" s="2579" t="str">
        <f t="shared" si="197"/>
        <v/>
      </c>
      <c r="HJ797" s="2579" t="str">
        <f t="shared" si="198"/>
        <v/>
      </c>
      <c r="HK797" s="2579" t="str">
        <f t="shared" si="199"/>
        <v/>
      </c>
      <c r="HL797" s="2579" t="str">
        <f t="shared" si="200"/>
        <v/>
      </c>
      <c r="HM797" s="2579" t="str">
        <f t="shared" si="201"/>
        <v/>
      </c>
      <c r="HN797" s="2579" t="str">
        <f t="shared" si="202"/>
        <v/>
      </c>
      <c r="HO797" s="2579" t="str">
        <f t="shared" si="203"/>
        <v/>
      </c>
      <c r="HP797" s="2579" t="str">
        <f t="shared" si="204"/>
        <v/>
      </c>
      <c r="HQ797" s="2579" t="str">
        <f t="shared" si="205"/>
        <v/>
      </c>
      <c r="HR797" s="2579" t="str">
        <f t="shared" si="206"/>
        <v/>
      </c>
      <c r="HS797" s="2579" t="str">
        <f t="shared" si="207"/>
        <v/>
      </c>
      <c r="HT797" s="2579" t="str">
        <f t="shared" si="208"/>
        <v/>
      </c>
      <c r="HU797" s="2579" t="str">
        <f t="shared" si="209"/>
        <v/>
      </c>
      <c r="HV797" s="2579" t="str">
        <f t="shared" si="210"/>
        <v/>
      </c>
      <c r="HW797" s="2579" t="str">
        <f t="shared" si="211"/>
        <v/>
      </c>
      <c r="HX797" s="2579" t="str">
        <f t="shared" si="212"/>
        <v/>
      </c>
      <c r="HY797" s="2579" t="str">
        <f t="shared" si="213"/>
        <v/>
      </c>
      <c r="HZ797" s="2579" t="str">
        <f t="shared" si="214"/>
        <v/>
      </c>
      <c r="IA797" s="2579" t="str">
        <f t="shared" si="215"/>
        <v/>
      </c>
      <c r="IB797" s="2579" t="str">
        <f t="shared" si="216"/>
        <v/>
      </c>
      <c r="IC797" s="2579" t="str">
        <f t="shared" si="217"/>
        <v/>
      </c>
      <c r="ID797" s="2551" t="str">
        <f t="shared" si="218"/>
        <v/>
      </c>
      <c r="IE797" s="2551" t="str">
        <f t="shared" si="219"/>
        <v/>
      </c>
      <c r="IF797" s="2551" t="str">
        <f t="shared" si="220"/>
        <v/>
      </c>
      <c r="IG797" s="2551" t="str">
        <f t="shared" si="221"/>
        <v/>
      </c>
      <c r="IH797" s="2551"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2549">
        <f t="shared" si="243"/>
        <v>0</v>
      </c>
      <c r="JD797" s="2549">
        <f t="shared" si="244"/>
        <v>0</v>
      </c>
      <c r="JE797" s="2549">
        <f t="shared" si="245"/>
        <v>0</v>
      </c>
      <c r="JF797" s="2549">
        <f t="shared" si="246"/>
        <v>0</v>
      </c>
      <c r="JG797" s="2549">
        <f t="shared" si="247"/>
        <v>0</v>
      </c>
      <c r="JH797" s="2549">
        <f t="shared" si="248"/>
        <v>0</v>
      </c>
      <c r="JI797" s="2549">
        <f t="shared" si="249"/>
        <v>0</v>
      </c>
      <c r="JJ797" s="2549">
        <f t="shared" si="250"/>
        <v>0</v>
      </c>
      <c r="JK797" s="2549">
        <f t="shared" si="251"/>
        <v>0</v>
      </c>
      <c r="JL797" s="2549">
        <f t="shared" si="252"/>
        <v>0</v>
      </c>
      <c r="JM797" s="2549">
        <f t="shared" si="253"/>
        <v>0</v>
      </c>
      <c r="JN797" s="2549">
        <f t="shared" si="254"/>
        <v>0</v>
      </c>
      <c r="JO797" s="2549">
        <f t="shared" si="255"/>
        <v>0</v>
      </c>
      <c r="JP797" s="2549">
        <f t="shared" si="256"/>
        <v>0</v>
      </c>
      <c r="JQ797" s="2549">
        <f t="shared" si="257"/>
        <v>0</v>
      </c>
    </row>
    <row r="798" spans="1:277" ht="12" customHeight="1">
      <c r="A798" s="2562" t="str">
        <f t="shared" si="0"/>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1"/>
        <v>0</v>
      </c>
      <c r="L798" s="2576">
        <f t="shared" si="2"/>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2579" t="str">
        <f t="shared" si="133"/>
        <v/>
      </c>
      <c r="EX798" s="2579" t="str">
        <f t="shared" si="134"/>
        <v/>
      </c>
      <c r="EY798" s="2579" t="str">
        <f t="shared" si="135"/>
        <v/>
      </c>
      <c r="EZ798" s="2579" t="str">
        <f t="shared" si="136"/>
        <v/>
      </c>
      <c r="FA798" s="2579" t="str">
        <f t="shared" si="137"/>
        <v/>
      </c>
      <c r="FB798" s="2579" t="str">
        <f t="shared" si="138"/>
        <v/>
      </c>
      <c r="FC798" s="2579" t="str">
        <f t="shared" si="139"/>
        <v/>
      </c>
      <c r="FD798" s="2579" t="str">
        <f t="shared" si="140"/>
        <v/>
      </c>
      <c r="FE798" s="2579" t="str">
        <f t="shared" si="141"/>
        <v/>
      </c>
      <c r="FF798" s="2579" t="str">
        <f t="shared" si="142"/>
        <v/>
      </c>
      <c r="FG798" s="2579" t="str">
        <f t="shared" si="143"/>
        <v/>
      </c>
      <c r="FH798" s="2579" t="str">
        <f t="shared" si="144"/>
        <v/>
      </c>
      <c r="FI798" s="2579" t="str">
        <f t="shared" si="145"/>
        <v/>
      </c>
      <c r="FJ798" s="2579" t="str">
        <f t="shared" si="146"/>
        <v/>
      </c>
      <c r="FK798" s="2579" t="str">
        <f t="shared" si="147"/>
        <v/>
      </c>
      <c r="FL798" s="2579" t="str">
        <f t="shared" si="148"/>
        <v/>
      </c>
      <c r="FM798" s="2579" t="str">
        <f t="shared" si="149"/>
        <v/>
      </c>
      <c r="FN798" s="2579" t="str">
        <f t="shared" si="150"/>
        <v/>
      </c>
      <c r="FO798" s="2579" t="str">
        <f t="shared" si="151"/>
        <v/>
      </c>
      <c r="FP798" s="2579" t="str">
        <f t="shared" si="152"/>
        <v/>
      </c>
      <c r="FQ798" s="2579" t="str">
        <f t="shared" si="153"/>
        <v/>
      </c>
      <c r="FR798" s="2579" t="str">
        <f t="shared" si="154"/>
        <v/>
      </c>
      <c r="FS798" s="2579" t="str">
        <f t="shared" si="155"/>
        <v/>
      </c>
      <c r="FT798" s="2579" t="str">
        <f t="shared" si="156"/>
        <v/>
      </c>
      <c r="FU798" s="2579" t="str">
        <f t="shared" si="157"/>
        <v/>
      </c>
      <c r="FV798" s="2579" t="str">
        <f t="shared" si="158"/>
        <v/>
      </c>
      <c r="FW798" s="2579" t="str">
        <f t="shared" si="159"/>
        <v/>
      </c>
      <c r="FX798" s="2579" t="str">
        <f t="shared" si="160"/>
        <v/>
      </c>
      <c r="FY798" s="2579" t="str">
        <f t="shared" si="161"/>
        <v/>
      </c>
      <c r="FZ798" s="2579" t="str">
        <f t="shared" si="162"/>
        <v/>
      </c>
      <c r="GA798" s="2579" t="str">
        <f t="shared" si="163"/>
        <v/>
      </c>
      <c r="GB798" s="2579" t="str">
        <f t="shared" si="164"/>
        <v/>
      </c>
      <c r="GC798" s="2579" t="str">
        <f t="shared" si="165"/>
        <v/>
      </c>
      <c r="GD798" s="2579" t="str">
        <f t="shared" si="166"/>
        <v/>
      </c>
      <c r="GE798" s="2579" t="str">
        <f t="shared" si="167"/>
        <v/>
      </c>
      <c r="GF798" s="2579" t="str">
        <f t="shared" si="168"/>
        <v/>
      </c>
      <c r="GG798" s="2579" t="str">
        <f t="shared" si="169"/>
        <v/>
      </c>
      <c r="GH798" s="2579" t="str">
        <f t="shared" si="170"/>
        <v/>
      </c>
      <c r="GI798" s="2579" t="str">
        <f t="shared" si="171"/>
        <v/>
      </c>
      <c r="GJ798" s="2579" t="str">
        <f t="shared" si="172"/>
        <v/>
      </c>
      <c r="GK798" s="2579" t="str">
        <f t="shared" si="173"/>
        <v/>
      </c>
      <c r="GL798" s="2579" t="str">
        <f t="shared" si="174"/>
        <v/>
      </c>
      <c r="GM798" s="2579" t="str">
        <f t="shared" si="175"/>
        <v/>
      </c>
      <c r="GN798" s="2579" t="str">
        <f t="shared" si="176"/>
        <v/>
      </c>
      <c r="GO798" s="2579" t="str">
        <f t="shared" si="177"/>
        <v/>
      </c>
      <c r="GP798" s="2579" t="str">
        <f t="shared" si="178"/>
        <v/>
      </c>
      <c r="GQ798" s="2579" t="str">
        <f t="shared" si="179"/>
        <v/>
      </c>
      <c r="GR798" s="2579" t="str">
        <f t="shared" si="180"/>
        <v/>
      </c>
      <c r="GS798" s="2579" t="str">
        <f t="shared" si="181"/>
        <v/>
      </c>
      <c r="GT798" s="2579" t="str">
        <f t="shared" si="182"/>
        <v/>
      </c>
      <c r="GU798" s="2579" t="str">
        <f t="shared" si="183"/>
        <v/>
      </c>
      <c r="GV798" s="2579" t="str">
        <f t="shared" si="184"/>
        <v/>
      </c>
      <c r="GW798" s="2579" t="str">
        <f t="shared" si="185"/>
        <v/>
      </c>
      <c r="GX798" s="2579" t="str">
        <f t="shared" si="186"/>
        <v/>
      </c>
      <c r="GY798" s="2579" t="str">
        <f t="shared" si="187"/>
        <v/>
      </c>
      <c r="GZ798" s="2579" t="str">
        <f t="shared" si="188"/>
        <v/>
      </c>
      <c r="HA798" s="2579" t="str">
        <f t="shared" si="189"/>
        <v/>
      </c>
      <c r="HB798" s="2579" t="str">
        <f t="shared" si="190"/>
        <v/>
      </c>
      <c r="HC798" s="2579" t="str">
        <f t="shared" si="191"/>
        <v/>
      </c>
      <c r="HD798" s="2579" t="str">
        <f t="shared" si="192"/>
        <v/>
      </c>
      <c r="HE798" s="2579" t="str">
        <f t="shared" si="193"/>
        <v/>
      </c>
      <c r="HF798" s="2579" t="str">
        <f t="shared" si="194"/>
        <v/>
      </c>
      <c r="HG798" s="2579" t="str">
        <f t="shared" si="195"/>
        <v/>
      </c>
      <c r="HH798" s="2579" t="str">
        <f t="shared" si="196"/>
        <v/>
      </c>
      <c r="HI798" s="2579" t="str">
        <f t="shared" si="197"/>
        <v/>
      </c>
      <c r="HJ798" s="2579" t="str">
        <f t="shared" si="198"/>
        <v/>
      </c>
      <c r="HK798" s="2579" t="str">
        <f t="shared" si="199"/>
        <v/>
      </c>
      <c r="HL798" s="2579" t="str">
        <f t="shared" si="200"/>
        <v/>
      </c>
      <c r="HM798" s="2579" t="str">
        <f t="shared" si="201"/>
        <v/>
      </c>
      <c r="HN798" s="2579" t="str">
        <f t="shared" si="202"/>
        <v/>
      </c>
      <c r="HO798" s="2579" t="str">
        <f t="shared" si="203"/>
        <v/>
      </c>
      <c r="HP798" s="2579" t="str">
        <f t="shared" si="204"/>
        <v/>
      </c>
      <c r="HQ798" s="2579" t="str">
        <f t="shared" si="205"/>
        <v/>
      </c>
      <c r="HR798" s="2579" t="str">
        <f t="shared" si="206"/>
        <v/>
      </c>
      <c r="HS798" s="2579" t="str">
        <f t="shared" si="207"/>
        <v/>
      </c>
      <c r="HT798" s="2579" t="str">
        <f t="shared" si="208"/>
        <v/>
      </c>
      <c r="HU798" s="2579" t="str">
        <f t="shared" si="209"/>
        <v/>
      </c>
      <c r="HV798" s="2579" t="str">
        <f t="shared" si="210"/>
        <v/>
      </c>
      <c r="HW798" s="2579" t="str">
        <f t="shared" si="211"/>
        <v/>
      </c>
      <c r="HX798" s="2579" t="str">
        <f t="shared" si="212"/>
        <v/>
      </c>
      <c r="HY798" s="2579" t="str">
        <f t="shared" si="213"/>
        <v/>
      </c>
      <c r="HZ798" s="2579" t="str">
        <f t="shared" si="214"/>
        <v/>
      </c>
      <c r="IA798" s="2579" t="str">
        <f t="shared" si="215"/>
        <v/>
      </c>
      <c r="IB798" s="2579" t="str">
        <f t="shared" si="216"/>
        <v/>
      </c>
      <c r="IC798" s="2579" t="str">
        <f t="shared" si="217"/>
        <v/>
      </c>
      <c r="ID798" s="2551" t="str">
        <f t="shared" si="218"/>
        <v/>
      </c>
      <c r="IE798" s="2551" t="str">
        <f t="shared" si="219"/>
        <v/>
      </c>
      <c r="IF798" s="2551" t="str">
        <f t="shared" si="220"/>
        <v/>
      </c>
      <c r="IG798" s="2551" t="str">
        <f t="shared" si="221"/>
        <v/>
      </c>
      <c r="IH798" s="2551"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2549">
        <f t="shared" si="243"/>
        <v>0</v>
      </c>
      <c r="JD798" s="2549">
        <f t="shared" si="244"/>
        <v>0</v>
      </c>
      <c r="JE798" s="2549">
        <f t="shared" si="245"/>
        <v>0</v>
      </c>
      <c r="JF798" s="2549">
        <f t="shared" si="246"/>
        <v>0</v>
      </c>
      <c r="JG798" s="2549">
        <f t="shared" si="247"/>
        <v>0</v>
      </c>
      <c r="JH798" s="2549">
        <f t="shared" si="248"/>
        <v>0</v>
      </c>
      <c r="JI798" s="2549">
        <f t="shared" si="249"/>
        <v>0</v>
      </c>
      <c r="JJ798" s="2549">
        <f t="shared" si="250"/>
        <v>0</v>
      </c>
      <c r="JK798" s="2549">
        <f t="shared" si="251"/>
        <v>0</v>
      </c>
      <c r="JL798" s="2549">
        <f t="shared" si="252"/>
        <v>0</v>
      </c>
      <c r="JM798" s="2549">
        <f t="shared" si="253"/>
        <v>0</v>
      </c>
      <c r="JN798" s="2549">
        <f t="shared" si="254"/>
        <v>0</v>
      </c>
      <c r="JO798" s="2549">
        <f t="shared" si="255"/>
        <v>0</v>
      </c>
      <c r="JP798" s="2549">
        <f t="shared" si="256"/>
        <v>0</v>
      </c>
      <c r="JQ798" s="2549">
        <f t="shared" si="257"/>
        <v>0</v>
      </c>
    </row>
    <row r="799" spans="1:277" ht="12" customHeight="1">
      <c r="A799" s="2562" t="str">
        <f t="shared" si="0"/>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1"/>
        <v>0</v>
      </c>
      <c r="L799" s="2576">
        <f t="shared" si="2"/>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2579" t="str">
        <f t="shared" si="133"/>
        <v/>
      </c>
      <c r="EX799" s="2579" t="str">
        <f t="shared" si="134"/>
        <v/>
      </c>
      <c r="EY799" s="2579" t="str">
        <f t="shared" si="135"/>
        <v/>
      </c>
      <c r="EZ799" s="2579" t="str">
        <f t="shared" si="136"/>
        <v/>
      </c>
      <c r="FA799" s="2579" t="str">
        <f t="shared" si="137"/>
        <v/>
      </c>
      <c r="FB799" s="2579" t="str">
        <f t="shared" si="138"/>
        <v/>
      </c>
      <c r="FC799" s="2579" t="str">
        <f t="shared" si="139"/>
        <v/>
      </c>
      <c r="FD799" s="2579" t="str">
        <f t="shared" si="140"/>
        <v/>
      </c>
      <c r="FE799" s="2579" t="str">
        <f t="shared" si="141"/>
        <v/>
      </c>
      <c r="FF799" s="2579" t="str">
        <f t="shared" si="142"/>
        <v/>
      </c>
      <c r="FG799" s="2579" t="str">
        <f t="shared" si="143"/>
        <v/>
      </c>
      <c r="FH799" s="2579" t="str">
        <f t="shared" si="144"/>
        <v/>
      </c>
      <c r="FI799" s="2579" t="str">
        <f t="shared" si="145"/>
        <v/>
      </c>
      <c r="FJ799" s="2579" t="str">
        <f t="shared" si="146"/>
        <v/>
      </c>
      <c r="FK799" s="2579" t="str">
        <f t="shared" si="147"/>
        <v/>
      </c>
      <c r="FL799" s="2579" t="str">
        <f t="shared" si="148"/>
        <v/>
      </c>
      <c r="FM799" s="2579" t="str">
        <f t="shared" si="149"/>
        <v/>
      </c>
      <c r="FN799" s="2579" t="str">
        <f t="shared" si="150"/>
        <v/>
      </c>
      <c r="FO799" s="2579" t="str">
        <f t="shared" si="151"/>
        <v/>
      </c>
      <c r="FP799" s="2579" t="str">
        <f t="shared" si="152"/>
        <v/>
      </c>
      <c r="FQ799" s="2579" t="str">
        <f t="shared" si="153"/>
        <v/>
      </c>
      <c r="FR799" s="2579" t="str">
        <f t="shared" si="154"/>
        <v/>
      </c>
      <c r="FS799" s="2579" t="str">
        <f t="shared" si="155"/>
        <v/>
      </c>
      <c r="FT799" s="2579" t="str">
        <f t="shared" si="156"/>
        <v/>
      </c>
      <c r="FU799" s="2579" t="str">
        <f t="shared" si="157"/>
        <v/>
      </c>
      <c r="FV799" s="2579" t="str">
        <f t="shared" si="158"/>
        <v/>
      </c>
      <c r="FW799" s="2579" t="str">
        <f t="shared" si="159"/>
        <v/>
      </c>
      <c r="FX799" s="2579" t="str">
        <f t="shared" si="160"/>
        <v/>
      </c>
      <c r="FY799" s="2579" t="str">
        <f t="shared" si="161"/>
        <v/>
      </c>
      <c r="FZ799" s="2579" t="str">
        <f t="shared" si="162"/>
        <v/>
      </c>
      <c r="GA799" s="2579" t="str">
        <f t="shared" si="163"/>
        <v/>
      </c>
      <c r="GB799" s="2579" t="str">
        <f t="shared" si="164"/>
        <v/>
      </c>
      <c r="GC799" s="2579" t="str">
        <f t="shared" si="165"/>
        <v/>
      </c>
      <c r="GD799" s="2579" t="str">
        <f t="shared" si="166"/>
        <v/>
      </c>
      <c r="GE799" s="2579" t="str">
        <f t="shared" si="167"/>
        <v/>
      </c>
      <c r="GF799" s="2579" t="str">
        <f t="shared" si="168"/>
        <v/>
      </c>
      <c r="GG799" s="2579" t="str">
        <f t="shared" si="169"/>
        <v/>
      </c>
      <c r="GH799" s="2579" t="str">
        <f t="shared" si="170"/>
        <v/>
      </c>
      <c r="GI799" s="2579" t="str">
        <f t="shared" si="171"/>
        <v/>
      </c>
      <c r="GJ799" s="2579" t="str">
        <f t="shared" si="172"/>
        <v/>
      </c>
      <c r="GK799" s="2579" t="str">
        <f t="shared" si="173"/>
        <v/>
      </c>
      <c r="GL799" s="2579" t="str">
        <f t="shared" si="174"/>
        <v/>
      </c>
      <c r="GM799" s="2579" t="str">
        <f t="shared" si="175"/>
        <v/>
      </c>
      <c r="GN799" s="2579" t="str">
        <f t="shared" si="176"/>
        <v/>
      </c>
      <c r="GO799" s="2579" t="str">
        <f t="shared" si="177"/>
        <v/>
      </c>
      <c r="GP799" s="2579" t="str">
        <f t="shared" si="178"/>
        <v/>
      </c>
      <c r="GQ799" s="2579" t="str">
        <f t="shared" si="179"/>
        <v/>
      </c>
      <c r="GR799" s="2579" t="str">
        <f t="shared" si="180"/>
        <v/>
      </c>
      <c r="GS799" s="2579" t="str">
        <f t="shared" si="181"/>
        <v/>
      </c>
      <c r="GT799" s="2579" t="str">
        <f t="shared" si="182"/>
        <v/>
      </c>
      <c r="GU799" s="2579" t="str">
        <f t="shared" si="183"/>
        <v/>
      </c>
      <c r="GV799" s="2579" t="str">
        <f t="shared" si="184"/>
        <v/>
      </c>
      <c r="GW799" s="2579" t="str">
        <f t="shared" si="185"/>
        <v/>
      </c>
      <c r="GX799" s="2579" t="str">
        <f t="shared" si="186"/>
        <v/>
      </c>
      <c r="GY799" s="2579" t="str">
        <f t="shared" si="187"/>
        <v/>
      </c>
      <c r="GZ799" s="2579" t="str">
        <f t="shared" si="188"/>
        <v/>
      </c>
      <c r="HA799" s="2579" t="str">
        <f t="shared" si="189"/>
        <v/>
      </c>
      <c r="HB799" s="2579" t="str">
        <f t="shared" si="190"/>
        <v/>
      </c>
      <c r="HC799" s="2579" t="str">
        <f t="shared" si="191"/>
        <v/>
      </c>
      <c r="HD799" s="2579" t="str">
        <f t="shared" si="192"/>
        <v/>
      </c>
      <c r="HE799" s="2579" t="str">
        <f t="shared" si="193"/>
        <v/>
      </c>
      <c r="HF799" s="2579" t="str">
        <f t="shared" si="194"/>
        <v/>
      </c>
      <c r="HG799" s="2579" t="str">
        <f t="shared" si="195"/>
        <v/>
      </c>
      <c r="HH799" s="2579" t="str">
        <f t="shared" si="196"/>
        <v/>
      </c>
      <c r="HI799" s="2579" t="str">
        <f t="shared" si="197"/>
        <v/>
      </c>
      <c r="HJ799" s="2579" t="str">
        <f t="shared" si="198"/>
        <v/>
      </c>
      <c r="HK799" s="2579" t="str">
        <f t="shared" si="199"/>
        <v/>
      </c>
      <c r="HL799" s="2579" t="str">
        <f t="shared" si="200"/>
        <v/>
      </c>
      <c r="HM799" s="2579" t="str">
        <f t="shared" si="201"/>
        <v/>
      </c>
      <c r="HN799" s="2579" t="str">
        <f t="shared" si="202"/>
        <v/>
      </c>
      <c r="HO799" s="2579" t="str">
        <f t="shared" si="203"/>
        <v/>
      </c>
      <c r="HP799" s="2579" t="str">
        <f t="shared" si="204"/>
        <v/>
      </c>
      <c r="HQ799" s="2579" t="str">
        <f t="shared" si="205"/>
        <v/>
      </c>
      <c r="HR799" s="2579" t="str">
        <f t="shared" si="206"/>
        <v/>
      </c>
      <c r="HS799" s="2579" t="str">
        <f t="shared" si="207"/>
        <v/>
      </c>
      <c r="HT799" s="2579" t="str">
        <f t="shared" si="208"/>
        <v/>
      </c>
      <c r="HU799" s="2579" t="str">
        <f t="shared" si="209"/>
        <v/>
      </c>
      <c r="HV799" s="2579" t="str">
        <f t="shared" si="210"/>
        <v/>
      </c>
      <c r="HW799" s="2579" t="str">
        <f t="shared" si="211"/>
        <v/>
      </c>
      <c r="HX799" s="2579" t="str">
        <f t="shared" si="212"/>
        <v/>
      </c>
      <c r="HY799" s="2579" t="str">
        <f t="shared" si="213"/>
        <v/>
      </c>
      <c r="HZ799" s="2579" t="str">
        <f t="shared" si="214"/>
        <v/>
      </c>
      <c r="IA799" s="2579" t="str">
        <f t="shared" si="215"/>
        <v/>
      </c>
      <c r="IB799" s="2579" t="str">
        <f t="shared" si="216"/>
        <v/>
      </c>
      <c r="IC799" s="2579" t="str">
        <f t="shared" si="217"/>
        <v/>
      </c>
      <c r="ID799" s="2551" t="str">
        <f t="shared" si="218"/>
        <v/>
      </c>
      <c r="IE799" s="2551" t="str">
        <f t="shared" si="219"/>
        <v/>
      </c>
      <c r="IF799" s="2551" t="str">
        <f t="shared" si="220"/>
        <v/>
      </c>
      <c r="IG799" s="2551" t="str">
        <f t="shared" si="221"/>
        <v/>
      </c>
      <c r="IH799" s="2551"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2549">
        <f t="shared" si="243"/>
        <v>0</v>
      </c>
      <c r="JD799" s="2549">
        <f t="shared" si="244"/>
        <v>0</v>
      </c>
      <c r="JE799" s="2549">
        <f t="shared" si="245"/>
        <v>0</v>
      </c>
      <c r="JF799" s="2549">
        <f t="shared" si="246"/>
        <v>0</v>
      </c>
      <c r="JG799" s="2549">
        <f t="shared" si="247"/>
        <v>0</v>
      </c>
      <c r="JH799" s="2549">
        <f t="shared" si="248"/>
        <v>0</v>
      </c>
      <c r="JI799" s="2549">
        <f t="shared" si="249"/>
        <v>0</v>
      </c>
      <c r="JJ799" s="2549">
        <f t="shared" si="250"/>
        <v>0</v>
      </c>
      <c r="JK799" s="2549">
        <f t="shared" si="251"/>
        <v>0</v>
      </c>
      <c r="JL799" s="2549">
        <f t="shared" si="252"/>
        <v>0</v>
      </c>
      <c r="JM799" s="2549">
        <f t="shared" si="253"/>
        <v>0</v>
      </c>
      <c r="JN799" s="2549">
        <f t="shared" si="254"/>
        <v>0</v>
      </c>
      <c r="JO799" s="2549">
        <f t="shared" si="255"/>
        <v>0</v>
      </c>
      <c r="JP799" s="2549">
        <f t="shared" si="256"/>
        <v>0</v>
      </c>
      <c r="JQ799" s="2549">
        <f t="shared" si="257"/>
        <v>0</v>
      </c>
    </row>
    <row r="800" spans="1:277" ht="12" customHeight="1">
      <c r="A800" s="2562" t="str">
        <f t="shared" si="0"/>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1"/>
        <v>0</v>
      </c>
      <c r="L800" s="2576">
        <f t="shared" si="2"/>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2579" t="str">
        <f t="shared" si="133"/>
        <v/>
      </c>
      <c r="EX800" s="2579" t="str">
        <f t="shared" si="134"/>
        <v/>
      </c>
      <c r="EY800" s="2579" t="str">
        <f t="shared" si="135"/>
        <v/>
      </c>
      <c r="EZ800" s="2579" t="str">
        <f t="shared" si="136"/>
        <v/>
      </c>
      <c r="FA800" s="2579" t="str">
        <f t="shared" si="137"/>
        <v/>
      </c>
      <c r="FB800" s="2579" t="str">
        <f t="shared" si="138"/>
        <v/>
      </c>
      <c r="FC800" s="2579" t="str">
        <f t="shared" si="139"/>
        <v/>
      </c>
      <c r="FD800" s="2579" t="str">
        <f t="shared" si="140"/>
        <v/>
      </c>
      <c r="FE800" s="2579" t="str">
        <f t="shared" si="141"/>
        <v/>
      </c>
      <c r="FF800" s="2579" t="str">
        <f t="shared" si="142"/>
        <v/>
      </c>
      <c r="FG800" s="2579" t="str">
        <f t="shared" si="143"/>
        <v/>
      </c>
      <c r="FH800" s="2579" t="str">
        <f t="shared" si="144"/>
        <v/>
      </c>
      <c r="FI800" s="2579" t="str">
        <f t="shared" si="145"/>
        <v/>
      </c>
      <c r="FJ800" s="2579" t="str">
        <f t="shared" si="146"/>
        <v/>
      </c>
      <c r="FK800" s="2579" t="str">
        <f t="shared" si="147"/>
        <v/>
      </c>
      <c r="FL800" s="2579" t="str">
        <f t="shared" si="148"/>
        <v/>
      </c>
      <c r="FM800" s="2579" t="str">
        <f t="shared" si="149"/>
        <v/>
      </c>
      <c r="FN800" s="2579" t="str">
        <f t="shared" si="150"/>
        <v/>
      </c>
      <c r="FO800" s="2579" t="str">
        <f t="shared" si="151"/>
        <v/>
      </c>
      <c r="FP800" s="2579" t="str">
        <f t="shared" si="152"/>
        <v/>
      </c>
      <c r="FQ800" s="2579" t="str">
        <f t="shared" si="153"/>
        <v/>
      </c>
      <c r="FR800" s="2579" t="str">
        <f t="shared" si="154"/>
        <v/>
      </c>
      <c r="FS800" s="2579" t="str">
        <f t="shared" si="155"/>
        <v/>
      </c>
      <c r="FT800" s="2579" t="str">
        <f t="shared" si="156"/>
        <v/>
      </c>
      <c r="FU800" s="2579" t="str">
        <f t="shared" si="157"/>
        <v/>
      </c>
      <c r="FV800" s="2579" t="str">
        <f t="shared" si="158"/>
        <v/>
      </c>
      <c r="FW800" s="2579" t="str">
        <f t="shared" si="159"/>
        <v/>
      </c>
      <c r="FX800" s="2579" t="str">
        <f t="shared" si="160"/>
        <v/>
      </c>
      <c r="FY800" s="2579" t="str">
        <f t="shared" si="161"/>
        <v/>
      </c>
      <c r="FZ800" s="2579" t="str">
        <f t="shared" si="162"/>
        <v/>
      </c>
      <c r="GA800" s="2579" t="str">
        <f t="shared" si="163"/>
        <v/>
      </c>
      <c r="GB800" s="2579" t="str">
        <f t="shared" si="164"/>
        <v/>
      </c>
      <c r="GC800" s="2579" t="str">
        <f t="shared" si="165"/>
        <v/>
      </c>
      <c r="GD800" s="2579" t="str">
        <f t="shared" si="166"/>
        <v/>
      </c>
      <c r="GE800" s="2579" t="str">
        <f t="shared" si="167"/>
        <v/>
      </c>
      <c r="GF800" s="2579" t="str">
        <f t="shared" si="168"/>
        <v/>
      </c>
      <c r="GG800" s="2579" t="str">
        <f t="shared" si="169"/>
        <v/>
      </c>
      <c r="GH800" s="2579" t="str">
        <f t="shared" si="170"/>
        <v/>
      </c>
      <c r="GI800" s="2579" t="str">
        <f t="shared" si="171"/>
        <v/>
      </c>
      <c r="GJ800" s="2579" t="str">
        <f t="shared" si="172"/>
        <v/>
      </c>
      <c r="GK800" s="2579" t="str">
        <f t="shared" si="173"/>
        <v/>
      </c>
      <c r="GL800" s="2579" t="str">
        <f t="shared" si="174"/>
        <v/>
      </c>
      <c r="GM800" s="2579" t="str">
        <f t="shared" si="175"/>
        <v/>
      </c>
      <c r="GN800" s="2579" t="str">
        <f t="shared" si="176"/>
        <v/>
      </c>
      <c r="GO800" s="2579" t="str">
        <f t="shared" si="177"/>
        <v/>
      </c>
      <c r="GP800" s="2579" t="str">
        <f t="shared" si="178"/>
        <v/>
      </c>
      <c r="GQ800" s="2579" t="str">
        <f t="shared" si="179"/>
        <v/>
      </c>
      <c r="GR800" s="2579" t="str">
        <f t="shared" si="180"/>
        <v/>
      </c>
      <c r="GS800" s="2579" t="str">
        <f t="shared" si="181"/>
        <v/>
      </c>
      <c r="GT800" s="2579" t="str">
        <f t="shared" si="182"/>
        <v/>
      </c>
      <c r="GU800" s="2579" t="str">
        <f t="shared" si="183"/>
        <v/>
      </c>
      <c r="GV800" s="2579" t="str">
        <f t="shared" si="184"/>
        <v/>
      </c>
      <c r="GW800" s="2579" t="str">
        <f t="shared" si="185"/>
        <v/>
      </c>
      <c r="GX800" s="2579" t="str">
        <f t="shared" si="186"/>
        <v/>
      </c>
      <c r="GY800" s="2579" t="str">
        <f t="shared" si="187"/>
        <v/>
      </c>
      <c r="GZ800" s="2579" t="str">
        <f t="shared" si="188"/>
        <v/>
      </c>
      <c r="HA800" s="2579" t="str">
        <f t="shared" si="189"/>
        <v/>
      </c>
      <c r="HB800" s="2579" t="str">
        <f t="shared" si="190"/>
        <v/>
      </c>
      <c r="HC800" s="2579" t="str">
        <f t="shared" si="191"/>
        <v/>
      </c>
      <c r="HD800" s="2579" t="str">
        <f t="shared" si="192"/>
        <v/>
      </c>
      <c r="HE800" s="2579" t="str">
        <f t="shared" si="193"/>
        <v/>
      </c>
      <c r="HF800" s="2579" t="str">
        <f t="shared" si="194"/>
        <v/>
      </c>
      <c r="HG800" s="2579" t="str">
        <f t="shared" si="195"/>
        <v/>
      </c>
      <c r="HH800" s="2579" t="str">
        <f t="shared" si="196"/>
        <v/>
      </c>
      <c r="HI800" s="2579" t="str">
        <f t="shared" si="197"/>
        <v/>
      </c>
      <c r="HJ800" s="2579" t="str">
        <f t="shared" si="198"/>
        <v/>
      </c>
      <c r="HK800" s="2579" t="str">
        <f t="shared" si="199"/>
        <v/>
      </c>
      <c r="HL800" s="2579" t="str">
        <f t="shared" si="200"/>
        <v/>
      </c>
      <c r="HM800" s="2579" t="str">
        <f t="shared" si="201"/>
        <v/>
      </c>
      <c r="HN800" s="2579" t="str">
        <f t="shared" si="202"/>
        <v/>
      </c>
      <c r="HO800" s="2579" t="str">
        <f t="shared" si="203"/>
        <v/>
      </c>
      <c r="HP800" s="2579" t="str">
        <f t="shared" si="204"/>
        <v/>
      </c>
      <c r="HQ800" s="2579" t="str">
        <f t="shared" si="205"/>
        <v/>
      </c>
      <c r="HR800" s="2579" t="str">
        <f t="shared" si="206"/>
        <v/>
      </c>
      <c r="HS800" s="2579" t="str">
        <f t="shared" si="207"/>
        <v/>
      </c>
      <c r="HT800" s="2579" t="str">
        <f t="shared" si="208"/>
        <v/>
      </c>
      <c r="HU800" s="2579" t="str">
        <f t="shared" si="209"/>
        <v/>
      </c>
      <c r="HV800" s="2579" t="str">
        <f t="shared" si="210"/>
        <v/>
      </c>
      <c r="HW800" s="2579" t="str">
        <f t="shared" si="211"/>
        <v/>
      </c>
      <c r="HX800" s="2579" t="str">
        <f t="shared" si="212"/>
        <v/>
      </c>
      <c r="HY800" s="2579" t="str">
        <f t="shared" si="213"/>
        <v/>
      </c>
      <c r="HZ800" s="2579" t="str">
        <f t="shared" si="214"/>
        <v/>
      </c>
      <c r="IA800" s="2579" t="str">
        <f t="shared" si="215"/>
        <v/>
      </c>
      <c r="IB800" s="2579" t="str">
        <f t="shared" si="216"/>
        <v/>
      </c>
      <c r="IC800" s="2579" t="str">
        <f t="shared" si="217"/>
        <v/>
      </c>
      <c r="ID800" s="2551" t="str">
        <f t="shared" si="218"/>
        <v/>
      </c>
      <c r="IE800" s="2551" t="str">
        <f t="shared" si="219"/>
        <v/>
      </c>
      <c r="IF800" s="2551" t="str">
        <f t="shared" si="220"/>
        <v/>
      </c>
      <c r="IG800" s="2551" t="str">
        <f t="shared" si="221"/>
        <v/>
      </c>
      <c r="IH800" s="2551"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2549">
        <f t="shared" si="243"/>
        <v>0</v>
      </c>
      <c r="JD800" s="2549">
        <f t="shared" si="244"/>
        <v>0</v>
      </c>
      <c r="JE800" s="2549">
        <f t="shared" si="245"/>
        <v>0</v>
      </c>
      <c r="JF800" s="2549">
        <f t="shared" si="246"/>
        <v>0</v>
      </c>
      <c r="JG800" s="2549">
        <f t="shared" si="247"/>
        <v>0</v>
      </c>
      <c r="JH800" s="2549">
        <f t="shared" si="248"/>
        <v>0</v>
      </c>
      <c r="JI800" s="2549">
        <f t="shared" si="249"/>
        <v>0</v>
      </c>
      <c r="JJ800" s="2549">
        <f t="shared" si="250"/>
        <v>0</v>
      </c>
      <c r="JK800" s="2549">
        <f t="shared" si="251"/>
        <v>0</v>
      </c>
      <c r="JL800" s="2549">
        <f t="shared" si="252"/>
        <v>0</v>
      </c>
      <c r="JM800" s="2549">
        <f t="shared" si="253"/>
        <v>0</v>
      </c>
      <c r="JN800" s="2549">
        <f t="shared" si="254"/>
        <v>0</v>
      </c>
      <c r="JO800" s="2549">
        <f t="shared" si="255"/>
        <v>0</v>
      </c>
      <c r="JP800" s="2549">
        <f t="shared" si="256"/>
        <v>0</v>
      </c>
      <c r="JQ800" s="2549">
        <f t="shared" si="257"/>
        <v>0</v>
      </c>
    </row>
    <row r="801" spans="1:278" ht="12" customHeight="1">
      <c r="A801" s="2562" t="str">
        <f t="shared" si="0"/>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1"/>
        <v>0</v>
      </c>
      <c r="L801" s="2576">
        <f t="shared" si="2"/>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2579" t="str">
        <f t="shared" si="133"/>
        <v/>
      </c>
      <c r="EX801" s="2579" t="str">
        <f t="shared" si="134"/>
        <v/>
      </c>
      <c r="EY801" s="2579" t="str">
        <f t="shared" si="135"/>
        <v/>
      </c>
      <c r="EZ801" s="2579" t="str">
        <f t="shared" si="136"/>
        <v/>
      </c>
      <c r="FA801" s="2579" t="str">
        <f t="shared" si="137"/>
        <v/>
      </c>
      <c r="FB801" s="2579" t="str">
        <f t="shared" si="138"/>
        <v/>
      </c>
      <c r="FC801" s="2579" t="str">
        <f t="shared" si="139"/>
        <v/>
      </c>
      <c r="FD801" s="2579" t="str">
        <f t="shared" si="140"/>
        <v/>
      </c>
      <c r="FE801" s="2579" t="str">
        <f t="shared" si="141"/>
        <v/>
      </c>
      <c r="FF801" s="2579" t="str">
        <f t="shared" si="142"/>
        <v/>
      </c>
      <c r="FG801" s="2579" t="str">
        <f t="shared" si="143"/>
        <v/>
      </c>
      <c r="FH801" s="2579" t="str">
        <f t="shared" si="144"/>
        <v/>
      </c>
      <c r="FI801" s="2579" t="str">
        <f t="shared" si="145"/>
        <v/>
      </c>
      <c r="FJ801" s="2579" t="str">
        <f t="shared" si="146"/>
        <v/>
      </c>
      <c r="FK801" s="2579" t="str">
        <f t="shared" si="147"/>
        <v/>
      </c>
      <c r="FL801" s="2579" t="str">
        <f t="shared" si="148"/>
        <v/>
      </c>
      <c r="FM801" s="2579" t="str">
        <f t="shared" si="149"/>
        <v/>
      </c>
      <c r="FN801" s="2579" t="str">
        <f t="shared" si="150"/>
        <v/>
      </c>
      <c r="FO801" s="2579" t="str">
        <f t="shared" si="151"/>
        <v/>
      </c>
      <c r="FP801" s="2579" t="str">
        <f t="shared" si="152"/>
        <v/>
      </c>
      <c r="FQ801" s="2579" t="str">
        <f t="shared" si="153"/>
        <v/>
      </c>
      <c r="FR801" s="2579" t="str">
        <f t="shared" si="154"/>
        <v/>
      </c>
      <c r="FS801" s="2579" t="str">
        <f t="shared" si="155"/>
        <v/>
      </c>
      <c r="FT801" s="2579" t="str">
        <f t="shared" si="156"/>
        <v/>
      </c>
      <c r="FU801" s="2579" t="str">
        <f t="shared" si="157"/>
        <v/>
      </c>
      <c r="FV801" s="2579" t="str">
        <f t="shared" si="158"/>
        <v/>
      </c>
      <c r="FW801" s="2579" t="str">
        <f t="shared" si="159"/>
        <v/>
      </c>
      <c r="FX801" s="2579" t="str">
        <f t="shared" si="160"/>
        <v/>
      </c>
      <c r="FY801" s="2579" t="str">
        <f t="shared" si="161"/>
        <v/>
      </c>
      <c r="FZ801" s="2579" t="str">
        <f t="shared" si="162"/>
        <v/>
      </c>
      <c r="GA801" s="2579" t="str">
        <f t="shared" si="163"/>
        <v/>
      </c>
      <c r="GB801" s="2579" t="str">
        <f t="shared" si="164"/>
        <v/>
      </c>
      <c r="GC801" s="2579" t="str">
        <f t="shared" si="165"/>
        <v/>
      </c>
      <c r="GD801" s="2579" t="str">
        <f t="shared" si="166"/>
        <v/>
      </c>
      <c r="GE801" s="2579" t="str">
        <f t="shared" si="167"/>
        <v/>
      </c>
      <c r="GF801" s="2579" t="str">
        <f t="shared" si="168"/>
        <v/>
      </c>
      <c r="GG801" s="2579" t="str">
        <f t="shared" si="169"/>
        <v/>
      </c>
      <c r="GH801" s="2579" t="str">
        <f t="shared" si="170"/>
        <v/>
      </c>
      <c r="GI801" s="2579" t="str">
        <f t="shared" si="171"/>
        <v/>
      </c>
      <c r="GJ801" s="2579" t="str">
        <f t="shared" si="172"/>
        <v/>
      </c>
      <c r="GK801" s="2579" t="str">
        <f t="shared" si="173"/>
        <v/>
      </c>
      <c r="GL801" s="2579" t="str">
        <f t="shared" si="174"/>
        <v/>
      </c>
      <c r="GM801" s="2579" t="str">
        <f t="shared" si="175"/>
        <v/>
      </c>
      <c r="GN801" s="2579" t="str">
        <f t="shared" si="176"/>
        <v/>
      </c>
      <c r="GO801" s="2579" t="str">
        <f t="shared" si="177"/>
        <v/>
      </c>
      <c r="GP801" s="2579" t="str">
        <f t="shared" si="178"/>
        <v/>
      </c>
      <c r="GQ801" s="2579" t="str">
        <f t="shared" si="179"/>
        <v/>
      </c>
      <c r="GR801" s="2579" t="str">
        <f t="shared" si="180"/>
        <v/>
      </c>
      <c r="GS801" s="2579" t="str">
        <f t="shared" si="181"/>
        <v/>
      </c>
      <c r="GT801" s="2579" t="str">
        <f t="shared" si="182"/>
        <v/>
      </c>
      <c r="GU801" s="2579" t="str">
        <f t="shared" si="183"/>
        <v/>
      </c>
      <c r="GV801" s="2579" t="str">
        <f t="shared" si="184"/>
        <v/>
      </c>
      <c r="GW801" s="2579" t="str">
        <f t="shared" si="185"/>
        <v/>
      </c>
      <c r="GX801" s="2579" t="str">
        <f t="shared" si="186"/>
        <v/>
      </c>
      <c r="GY801" s="2579" t="str">
        <f t="shared" si="187"/>
        <v/>
      </c>
      <c r="GZ801" s="2579" t="str">
        <f t="shared" si="188"/>
        <v/>
      </c>
      <c r="HA801" s="2579" t="str">
        <f t="shared" si="189"/>
        <v/>
      </c>
      <c r="HB801" s="2579" t="str">
        <f t="shared" si="190"/>
        <v/>
      </c>
      <c r="HC801" s="2579" t="str">
        <f t="shared" si="191"/>
        <v/>
      </c>
      <c r="HD801" s="2579" t="str">
        <f t="shared" si="192"/>
        <v/>
      </c>
      <c r="HE801" s="2579" t="str">
        <f t="shared" si="193"/>
        <v/>
      </c>
      <c r="HF801" s="2579" t="str">
        <f t="shared" si="194"/>
        <v/>
      </c>
      <c r="HG801" s="2579" t="str">
        <f t="shared" si="195"/>
        <v/>
      </c>
      <c r="HH801" s="2579" t="str">
        <f t="shared" si="196"/>
        <v/>
      </c>
      <c r="HI801" s="2579" t="str">
        <f t="shared" si="197"/>
        <v/>
      </c>
      <c r="HJ801" s="2579" t="str">
        <f t="shared" si="198"/>
        <v/>
      </c>
      <c r="HK801" s="2579" t="str">
        <f t="shared" si="199"/>
        <v/>
      </c>
      <c r="HL801" s="2579" t="str">
        <f t="shared" si="200"/>
        <v/>
      </c>
      <c r="HM801" s="2579" t="str">
        <f t="shared" si="201"/>
        <v/>
      </c>
      <c r="HN801" s="2579" t="str">
        <f t="shared" si="202"/>
        <v/>
      </c>
      <c r="HO801" s="2579" t="str">
        <f t="shared" si="203"/>
        <v/>
      </c>
      <c r="HP801" s="2579" t="str">
        <f t="shared" si="204"/>
        <v/>
      </c>
      <c r="HQ801" s="2579" t="str">
        <f t="shared" si="205"/>
        <v/>
      </c>
      <c r="HR801" s="2579" t="str">
        <f t="shared" si="206"/>
        <v/>
      </c>
      <c r="HS801" s="2579" t="str">
        <f t="shared" si="207"/>
        <v/>
      </c>
      <c r="HT801" s="2579" t="str">
        <f t="shared" si="208"/>
        <v/>
      </c>
      <c r="HU801" s="2579" t="str">
        <f t="shared" si="209"/>
        <v/>
      </c>
      <c r="HV801" s="2579" t="str">
        <f t="shared" si="210"/>
        <v/>
      </c>
      <c r="HW801" s="2579" t="str">
        <f t="shared" si="211"/>
        <v/>
      </c>
      <c r="HX801" s="2579" t="str">
        <f t="shared" si="212"/>
        <v/>
      </c>
      <c r="HY801" s="2579" t="str">
        <f t="shared" si="213"/>
        <v/>
      </c>
      <c r="HZ801" s="2579" t="str">
        <f t="shared" si="214"/>
        <v/>
      </c>
      <c r="IA801" s="2579" t="str">
        <f t="shared" si="215"/>
        <v/>
      </c>
      <c r="IB801" s="2579" t="str">
        <f t="shared" si="216"/>
        <v/>
      </c>
      <c r="IC801" s="2579" t="str">
        <f t="shared" si="217"/>
        <v/>
      </c>
      <c r="ID801" s="2551" t="str">
        <f t="shared" si="218"/>
        <v/>
      </c>
      <c r="IE801" s="2551" t="str">
        <f t="shared" si="219"/>
        <v/>
      </c>
      <c r="IF801" s="2551" t="str">
        <f t="shared" si="220"/>
        <v/>
      </c>
      <c r="IG801" s="2551" t="str">
        <f t="shared" si="221"/>
        <v/>
      </c>
      <c r="IH801" s="2551"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2549">
        <f t="shared" si="243"/>
        <v>0</v>
      </c>
      <c r="JD801" s="2549">
        <f t="shared" si="244"/>
        <v>0</v>
      </c>
      <c r="JE801" s="2549">
        <f t="shared" si="245"/>
        <v>0</v>
      </c>
      <c r="JF801" s="2549">
        <f t="shared" si="246"/>
        <v>0</v>
      </c>
      <c r="JG801" s="2549">
        <f t="shared" si="247"/>
        <v>0</v>
      </c>
      <c r="JH801" s="2549">
        <f t="shared" si="248"/>
        <v>0</v>
      </c>
      <c r="JI801" s="2549">
        <f t="shared" si="249"/>
        <v>0</v>
      </c>
      <c r="JJ801" s="2549">
        <f t="shared" si="250"/>
        <v>0</v>
      </c>
      <c r="JK801" s="2549">
        <f t="shared" si="251"/>
        <v>0</v>
      </c>
      <c r="JL801" s="2549">
        <f t="shared" si="252"/>
        <v>0</v>
      </c>
      <c r="JM801" s="2549">
        <f t="shared" si="253"/>
        <v>0</v>
      </c>
      <c r="JN801" s="2549">
        <f t="shared" si="254"/>
        <v>0</v>
      </c>
      <c r="JO801" s="2549">
        <f t="shared" si="255"/>
        <v>0</v>
      </c>
      <c r="JP801" s="2549">
        <f t="shared" si="256"/>
        <v>0</v>
      </c>
      <c r="JQ801" s="2549">
        <f t="shared" si="257"/>
        <v>0</v>
      </c>
    </row>
    <row r="802" spans="1:278" ht="12" customHeight="1">
      <c r="A802" s="2562" t="str">
        <f t="shared" si="0"/>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1"/>
        <v>0</v>
      </c>
      <c r="L802" s="2576">
        <f t="shared" si="2"/>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2579" t="str">
        <f t="shared" si="133"/>
        <v/>
      </c>
      <c r="EX802" s="2579" t="str">
        <f t="shared" si="134"/>
        <v/>
      </c>
      <c r="EY802" s="2579" t="str">
        <f t="shared" si="135"/>
        <v/>
      </c>
      <c r="EZ802" s="2579" t="str">
        <f t="shared" si="136"/>
        <v/>
      </c>
      <c r="FA802" s="2579" t="str">
        <f t="shared" si="137"/>
        <v/>
      </c>
      <c r="FB802" s="2579" t="str">
        <f t="shared" si="138"/>
        <v/>
      </c>
      <c r="FC802" s="2579" t="str">
        <f t="shared" si="139"/>
        <v/>
      </c>
      <c r="FD802" s="2579" t="str">
        <f t="shared" si="140"/>
        <v/>
      </c>
      <c r="FE802" s="2579" t="str">
        <f t="shared" si="141"/>
        <v/>
      </c>
      <c r="FF802" s="2579" t="str">
        <f t="shared" si="142"/>
        <v/>
      </c>
      <c r="FG802" s="2579" t="str">
        <f t="shared" si="143"/>
        <v/>
      </c>
      <c r="FH802" s="2579" t="str">
        <f t="shared" si="144"/>
        <v/>
      </c>
      <c r="FI802" s="2579" t="str">
        <f t="shared" si="145"/>
        <v/>
      </c>
      <c r="FJ802" s="2579" t="str">
        <f t="shared" si="146"/>
        <v/>
      </c>
      <c r="FK802" s="2579" t="str">
        <f t="shared" si="147"/>
        <v/>
      </c>
      <c r="FL802" s="2579" t="str">
        <f t="shared" si="148"/>
        <v/>
      </c>
      <c r="FM802" s="2579" t="str">
        <f t="shared" si="149"/>
        <v/>
      </c>
      <c r="FN802" s="2579" t="str">
        <f t="shared" si="150"/>
        <v/>
      </c>
      <c r="FO802" s="2579" t="str">
        <f t="shared" si="151"/>
        <v/>
      </c>
      <c r="FP802" s="2579" t="str">
        <f t="shared" si="152"/>
        <v/>
      </c>
      <c r="FQ802" s="2579" t="str">
        <f t="shared" si="153"/>
        <v/>
      </c>
      <c r="FR802" s="2579" t="str">
        <f t="shared" si="154"/>
        <v/>
      </c>
      <c r="FS802" s="2579" t="str">
        <f t="shared" si="155"/>
        <v/>
      </c>
      <c r="FT802" s="2579" t="str">
        <f t="shared" si="156"/>
        <v/>
      </c>
      <c r="FU802" s="2579" t="str">
        <f t="shared" si="157"/>
        <v/>
      </c>
      <c r="FV802" s="2579" t="str">
        <f t="shared" si="158"/>
        <v/>
      </c>
      <c r="FW802" s="2579" t="str">
        <f t="shared" si="159"/>
        <v/>
      </c>
      <c r="FX802" s="2579" t="str">
        <f t="shared" si="160"/>
        <v/>
      </c>
      <c r="FY802" s="2579" t="str">
        <f t="shared" si="161"/>
        <v/>
      </c>
      <c r="FZ802" s="2579" t="str">
        <f t="shared" si="162"/>
        <v/>
      </c>
      <c r="GA802" s="2579" t="str">
        <f t="shared" si="163"/>
        <v/>
      </c>
      <c r="GB802" s="2579" t="str">
        <f t="shared" si="164"/>
        <v/>
      </c>
      <c r="GC802" s="2579" t="str">
        <f t="shared" si="165"/>
        <v/>
      </c>
      <c r="GD802" s="2579" t="str">
        <f t="shared" si="166"/>
        <v/>
      </c>
      <c r="GE802" s="2579" t="str">
        <f t="shared" si="167"/>
        <v/>
      </c>
      <c r="GF802" s="2579" t="str">
        <f t="shared" si="168"/>
        <v/>
      </c>
      <c r="GG802" s="2579" t="str">
        <f t="shared" si="169"/>
        <v/>
      </c>
      <c r="GH802" s="2579" t="str">
        <f t="shared" si="170"/>
        <v/>
      </c>
      <c r="GI802" s="2579" t="str">
        <f t="shared" si="171"/>
        <v/>
      </c>
      <c r="GJ802" s="2579" t="str">
        <f t="shared" si="172"/>
        <v/>
      </c>
      <c r="GK802" s="2579" t="str">
        <f t="shared" si="173"/>
        <v/>
      </c>
      <c r="GL802" s="2579" t="str">
        <f t="shared" si="174"/>
        <v/>
      </c>
      <c r="GM802" s="2579" t="str">
        <f t="shared" si="175"/>
        <v/>
      </c>
      <c r="GN802" s="2579" t="str">
        <f t="shared" si="176"/>
        <v/>
      </c>
      <c r="GO802" s="2579" t="str">
        <f t="shared" si="177"/>
        <v/>
      </c>
      <c r="GP802" s="2579" t="str">
        <f t="shared" si="178"/>
        <v/>
      </c>
      <c r="GQ802" s="2579" t="str">
        <f t="shared" si="179"/>
        <v/>
      </c>
      <c r="GR802" s="2579" t="str">
        <f t="shared" si="180"/>
        <v/>
      </c>
      <c r="GS802" s="2579" t="str">
        <f t="shared" si="181"/>
        <v/>
      </c>
      <c r="GT802" s="2579" t="str">
        <f t="shared" si="182"/>
        <v/>
      </c>
      <c r="GU802" s="2579" t="str">
        <f t="shared" si="183"/>
        <v/>
      </c>
      <c r="GV802" s="2579" t="str">
        <f t="shared" si="184"/>
        <v/>
      </c>
      <c r="GW802" s="2579" t="str">
        <f t="shared" si="185"/>
        <v/>
      </c>
      <c r="GX802" s="2579" t="str">
        <f t="shared" si="186"/>
        <v/>
      </c>
      <c r="GY802" s="2579" t="str">
        <f t="shared" si="187"/>
        <v/>
      </c>
      <c r="GZ802" s="2579" t="str">
        <f t="shared" si="188"/>
        <v/>
      </c>
      <c r="HA802" s="2579" t="str">
        <f t="shared" si="189"/>
        <v/>
      </c>
      <c r="HB802" s="2579" t="str">
        <f t="shared" si="190"/>
        <v/>
      </c>
      <c r="HC802" s="2579" t="str">
        <f t="shared" si="191"/>
        <v/>
      </c>
      <c r="HD802" s="2579" t="str">
        <f t="shared" si="192"/>
        <v/>
      </c>
      <c r="HE802" s="2579" t="str">
        <f t="shared" si="193"/>
        <v/>
      </c>
      <c r="HF802" s="2579" t="str">
        <f t="shared" si="194"/>
        <v/>
      </c>
      <c r="HG802" s="2579" t="str">
        <f t="shared" si="195"/>
        <v/>
      </c>
      <c r="HH802" s="2579" t="str">
        <f t="shared" si="196"/>
        <v/>
      </c>
      <c r="HI802" s="2579" t="str">
        <f t="shared" si="197"/>
        <v/>
      </c>
      <c r="HJ802" s="2579" t="str">
        <f t="shared" si="198"/>
        <v/>
      </c>
      <c r="HK802" s="2579" t="str">
        <f t="shared" si="199"/>
        <v/>
      </c>
      <c r="HL802" s="2579" t="str">
        <f t="shared" si="200"/>
        <v/>
      </c>
      <c r="HM802" s="2579" t="str">
        <f t="shared" si="201"/>
        <v/>
      </c>
      <c r="HN802" s="2579" t="str">
        <f t="shared" si="202"/>
        <v/>
      </c>
      <c r="HO802" s="2579" t="str">
        <f t="shared" si="203"/>
        <v/>
      </c>
      <c r="HP802" s="2579" t="str">
        <f t="shared" si="204"/>
        <v/>
      </c>
      <c r="HQ802" s="2579" t="str">
        <f t="shared" si="205"/>
        <v/>
      </c>
      <c r="HR802" s="2579" t="str">
        <f t="shared" si="206"/>
        <v/>
      </c>
      <c r="HS802" s="2579" t="str">
        <f t="shared" si="207"/>
        <v/>
      </c>
      <c r="HT802" s="2579" t="str">
        <f t="shared" si="208"/>
        <v/>
      </c>
      <c r="HU802" s="2579" t="str">
        <f t="shared" si="209"/>
        <v/>
      </c>
      <c r="HV802" s="2579" t="str">
        <f t="shared" si="210"/>
        <v/>
      </c>
      <c r="HW802" s="2579" t="str">
        <f t="shared" si="211"/>
        <v/>
      </c>
      <c r="HX802" s="2579" t="str">
        <f t="shared" si="212"/>
        <v/>
      </c>
      <c r="HY802" s="2579" t="str">
        <f t="shared" si="213"/>
        <v/>
      </c>
      <c r="HZ802" s="2579" t="str">
        <f t="shared" si="214"/>
        <v/>
      </c>
      <c r="IA802" s="2579" t="str">
        <f t="shared" si="215"/>
        <v/>
      </c>
      <c r="IB802" s="2579" t="str">
        <f t="shared" si="216"/>
        <v/>
      </c>
      <c r="IC802" s="2579" t="str">
        <f t="shared" si="217"/>
        <v/>
      </c>
      <c r="ID802" s="2551" t="str">
        <f t="shared" si="218"/>
        <v/>
      </c>
      <c r="IE802" s="2551" t="str">
        <f t="shared" si="219"/>
        <v/>
      </c>
      <c r="IF802" s="2551" t="str">
        <f t="shared" si="220"/>
        <v/>
      </c>
      <c r="IG802" s="2551" t="str">
        <f t="shared" si="221"/>
        <v/>
      </c>
      <c r="IH802" s="2551"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2549">
        <f t="shared" si="243"/>
        <v>0</v>
      </c>
      <c r="JD802" s="2549">
        <f t="shared" si="244"/>
        <v>0</v>
      </c>
      <c r="JE802" s="2549">
        <f t="shared" si="245"/>
        <v>0</v>
      </c>
      <c r="JF802" s="2549">
        <f t="shared" si="246"/>
        <v>0</v>
      </c>
      <c r="JG802" s="2549">
        <f t="shared" si="247"/>
        <v>0</v>
      </c>
      <c r="JH802" s="2549">
        <f t="shared" si="248"/>
        <v>0</v>
      </c>
      <c r="JI802" s="2549">
        <f t="shared" si="249"/>
        <v>0</v>
      </c>
      <c r="JJ802" s="2549">
        <f t="shared" si="250"/>
        <v>0</v>
      </c>
      <c r="JK802" s="2549">
        <f t="shared" si="251"/>
        <v>0</v>
      </c>
      <c r="JL802" s="2549">
        <f t="shared" si="252"/>
        <v>0</v>
      </c>
      <c r="JM802" s="2549">
        <f t="shared" si="253"/>
        <v>0</v>
      </c>
      <c r="JN802" s="2549">
        <f t="shared" si="254"/>
        <v>0</v>
      </c>
      <c r="JO802" s="2549">
        <f t="shared" si="255"/>
        <v>0</v>
      </c>
      <c r="JP802" s="2549">
        <f t="shared" si="256"/>
        <v>0</v>
      </c>
      <c r="JQ802" s="2549">
        <f t="shared" si="257"/>
        <v>0</v>
      </c>
    </row>
    <row r="803" spans="1:278" ht="12" customHeight="1">
      <c r="A803" s="2562" t="str">
        <f t="shared" si="0"/>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1"/>
        <v>0</v>
      </c>
      <c r="L803" s="2576">
        <f t="shared" si="2"/>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2579" t="str">
        <f t="shared" si="133"/>
        <v/>
      </c>
      <c r="EX803" s="2579" t="str">
        <f t="shared" si="134"/>
        <v/>
      </c>
      <c r="EY803" s="2579" t="str">
        <f t="shared" si="135"/>
        <v/>
      </c>
      <c r="EZ803" s="2579" t="str">
        <f t="shared" si="136"/>
        <v/>
      </c>
      <c r="FA803" s="2579" t="str">
        <f t="shared" si="137"/>
        <v/>
      </c>
      <c r="FB803" s="2579" t="str">
        <f t="shared" si="138"/>
        <v/>
      </c>
      <c r="FC803" s="2579" t="str">
        <f t="shared" si="139"/>
        <v/>
      </c>
      <c r="FD803" s="2579" t="str">
        <f t="shared" si="140"/>
        <v/>
      </c>
      <c r="FE803" s="2579" t="str">
        <f t="shared" si="141"/>
        <v/>
      </c>
      <c r="FF803" s="2579" t="str">
        <f t="shared" si="142"/>
        <v/>
      </c>
      <c r="FG803" s="2579" t="str">
        <f t="shared" si="143"/>
        <v/>
      </c>
      <c r="FH803" s="2579" t="str">
        <f t="shared" si="144"/>
        <v/>
      </c>
      <c r="FI803" s="2579" t="str">
        <f t="shared" si="145"/>
        <v/>
      </c>
      <c r="FJ803" s="2579" t="str">
        <f t="shared" si="146"/>
        <v/>
      </c>
      <c r="FK803" s="2579" t="str">
        <f t="shared" si="147"/>
        <v/>
      </c>
      <c r="FL803" s="2579" t="str">
        <f t="shared" si="148"/>
        <v/>
      </c>
      <c r="FM803" s="2579" t="str">
        <f t="shared" si="149"/>
        <v/>
      </c>
      <c r="FN803" s="2579" t="str">
        <f t="shared" si="150"/>
        <v/>
      </c>
      <c r="FO803" s="2579" t="str">
        <f t="shared" si="151"/>
        <v/>
      </c>
      <c r="FP803" s="2579" t="str">
        <f t="shared" si="152"/>
        <v/>
      </c>
      <c r="FQ803" s="2579" t="str">
        <f t="shared" si="153"/>
        <v/>
      </c>
      <c r="FR803" s="2579" t="str">
        <f t="shared" si="154"/>
        <v/>
      </c>
      <c r="FS803" s="2579" t="str">
        <f t="shared" si="155"/>
        <v/>
      </c>
      <c r="FT803" s="2579" t="str">
        <f t="shared" si="156"/>
        <v/>
      </c>
      <c r="FU803" s="2579" t="str">
        <f t="shared" si="157"/>
        <v/>
      </c>
      <c r="FV803" s="2579" t="str">
        <f t="shared" si="158"/>
        <v/>
      </c>
      <c r="FW803" s="2579" t="str">
        <f t="shared" si="159"/>
        <v/>
      </c>
      <c r="FX803" s="2579" t="str">
        <f t="shared" si="160"/>
        <v/>
      </c>
      <c r="FY803" s="2579" t="str">
        <f t="shared" si="161"/>
        <v/>
      </c>
      <c r="FZ803" s="2579" t="str">
        <f t="shared" si="162"/>
        <v/>
      </c>
      <c r="GA803" s="2579" t="str">
        <f t="shared" si="163"/>
        <v/>
      </c>
      <c r="GB803" s="2579" t="str">
        <f t="shared" si="164"/>
        <v/>
      </c>
      <c r="GC803" s="2579" t="str">
        <f t="shared" si="165"/>
        <v/>
      </c>
      <c r="GD803" s="2579" t="str">
        <f t="shared" si="166"/>
        <v/>
      </c>
      <c r="GE803" s="2579" t="str">
        <f t="shared" si="167"/>
        <v/>
      </c>
      <c r="GF803" s="2579" t="str">
        <f t="shared" si="168"/>
        <v/>
      </c>
      <c r="GG803" s="2579" t="str">
        <f t="shared" si="169"/>
        <v/>
      </c>
      <c r="GH803" s="2579" t="str">
        <f t="shared" si="170"/>
        <v/>
      </c>
      <c r="GI803" s="2579" t="str">
        <f t="shared" si="171"/>
        <v/>
      </c>
      <c r="GJ803" s="2579" t="str">
        <f t="shared" si="172"/>
        <v/>
      </c>
      <c r="GK803" s="2579" t="str">
        <f t="shared" si="173"/>
        <v/>
      </c>
      <c r="GL803" s="2579" t="str">
        <f t="shared" si="174"/>
        <v/>
      </c>
      <c r="GM803" s="2579" t="str">
        <f t="shared" si="175"/>
        <v/>
      </c>
      <c r="GN803" s="2579" t="str">
        <f t="shared" si="176"/>
        <v/>
      </c>
      <c r="GO803" s="2579" t="str">
        <f t="shared" si="177"/>
        <v/>
      </c>
      <c r="GP803" s="2579" t="str">
        <f t="shared" si="178"/>
        <v/>
      </c>
      <c r="GQ803" s="2579" t="str">
        <f t="shared" si="179"/>
        <v/>
      </c>
      <c r="GR803" s="2579" t="str">
        <f t="shared" si="180"/>
        <v/>
      </c>
      <c r="GS803" s="2579" t="str">
        <f t="shared" si="181"/>
        <v/>
      </c>
      <c r="GT803" s="2579" t="str">
        <f t="shared" si="182"/>
        <v/>
      </c>
      <c r="GU803" s="2579" t="str">
        <f t="shared" si="183"/>
        <v/>
      </c>
      <c r="GV803" s="2579" t="str">
        <f t="shared" si="184"/>
        <v/>
      </c>
      <c r="GW803" s="2579" t="str">
        <f t="shared" si="185"/>
        <v/>
      </c>
      <c r="GX803" s="2579" t="str">
        <f t="shared" si="186"/>
        <v/>
      </c>
      <c r="GY803" s="2579" t="str">
        <f t="shared" si="187"/>
        <v/>
      </c>
      <c r="GZ803" s="2579" t="str">
        <f t="shared" si="188"/>
        <v/>
      </c>
      <c r="HA803" s="2579" t="str">
        <f t="shared" si="189"/>
        <v/>
      </c>
      <c r="HB803" s="2579" t="str">
        <f t="shared" si="190"/>
        <v/>
      </c>
      <c r="HC803" s="2579" t="str">
        <f t="shared" si="191"/>
        <v/>
      </c>
      <c r="HD803" s="2579" t="str">
        <f t="shared" si="192"/>
        <v/>
      </c>
      <c r="HE803" s="2579" t="str">
        <f t="shared" si="193"/>
        <v/>
      </c>
      <c r="HF803" s="2579" t="str">
        <f t="shared" si="194"/>
        <v/>
      </c>
      <c r="HG803" s="2579" t="str">
        <f t="shared" si="195"/>
        <v/>
      </c>
      <c r="HH803" s="2579" t="str">
        <f t="shared" si="196"/>
        <v/>
      </c>
      <c r="HI803" s="2579" t="str">
        <f t="shared" si="197"/>
        <v/>
      </c>
      <c r="HJ803" s="2579" t="str">
        <f t="shared" si="198"/>
        <v/>
      </c>
      <c r="HK803" s="2579" t="str">
        <f t="shared" si="199"/>
        <v/>
      </c>
      <c r="HL803" s="2579" t="str">
        <f t="shared" si="200"/>
        <v/>
      </c>
      <c r="HM803" s="2579" t="str">
        <f t="shared" si="201"/>
        <v/>
      </c>
      <c r="HN803" s="2579" t="str">
        <f t="shared" si="202"/>
        <v/>
      </c>
      <c r="HO803" s="2579" t="str">
        <f t="shared" si="203"/>
        <v/>
      </c>
      <c r="HP803" s="2579" t="str">
        <f t="shared" si="204"/>
        <v/>
      </c>
      <c r="HQ803" s="2579" t="str">
        <f t="shared" si="205"/>
        <v/>
      </c>
      <c r="HR803" s="2579" t="str">
        <f t="shared" si="206"/>
        <v/>
      </c>
      <c r="HS803" s="2579" t="str">
        <f t="shared" si="207"/>
        <v/>
      </c>
      <c r="HT803" s="2579" t="str">
        <f t="shared" si="208"/>
        <v/>
      </c>
      <c r="HU803" s="2579" t="str">
        <f t="shared" si="209"/>
        <v/>
      </c>
      <c r="HV803" s="2579" t="str">
        <f t="shared" si="210"/>
        <v/>
      </c>
      <c r="HW803" s="2579" t="str">
        <f t="shared" si="211"/>
        <v/>
      </c>
      <c r="HX803" s="2579" t="str">
        <f t="shared" si="212"/>
        <v/>
      </c>
      <c r="HY803" s="2579" t="str">
        <f t="shared" si="213"/>
        <v/>
      </c>
      <c r="HZ803" s="2579" t="str">
        <f t="shared" si="214"/>
        <v/>
      </c>
      <c r="IA803" s="2579" t="str">
        <f t="shared" si="215"/>
        <v/>
      </c>
      <c r="IB803" s="2579" t="str">
        <f t="shared" si="216"/>
        <v/>
      </c>
      <c r="IC803" s="2579" t="str">
        <f t="shared" si="217"/>
        <v/>
      </c>
      <c r="ID803" s="2551" t="str">
        <f t="shared" si="218"/>
        <v/>
      </c>
      <c r="IE803" s="2551" t="str">
        <f t="shared" si="219"/>
        <v/>
      </c>
      <c r="IF803" s="2551" t="str">
        <f t="shared" si="220"/>
        <v/>
      </c>
      <c r="IG803" s="2551" t="str">
        <f t="shared" si="221"/>
        <v/>
      </c>
      <c r="IH803" s="2551"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2549">
        <f t="shared" si="243"/>
        <v>0</v>
      </c>
      <c r="JD803" s="2549">
        <f t="shared" si="244"/>
        <v>0</v>
      </c>
      <c r="JE803" s="2549">
        <f t="shared" si="245"/>
        <v>0</v>
      </c>
      <c r="JF803" s="2549">
        <f t="shared" si="246"/>
        <v>0</v>
      </c>
      <c r="JG803" s="2549">
        <f t="shared" si="247"/>
        <v>0</v>
      </c>
      <c r="JH803" s="2549">
        <f t="shared" si="248"/>
        <v>0</v>
      </c>
      <c r="JI803" s="2549">
        <f t="shared" si="249"/>
        <v>0</v>
      </c>
      <c r="JJ803" s="2549">
        <f t="shared" si="250"/>
        <v>0</v>
      </c>
      <c r="JK803" s="2549">
        <f t="shared" si="251"/>
        <v>0</v>
      </c>
      <c r="JL803" s="2549">
        <f t="shared" si="252"/>
        <v>0</v>
      </c>
      <c r="JM803" s="2549">
        <f t="shared" si="253"/>
        <v>0</v>
      </c>
      <c r="JN803" s="2549">
        <f t="shared" si="254"/>
        <v>0</v>
      </c>
      <c r="JO803" s="2549">
        <f t="shared" si="255"/>
        <v>0</v>
      </c>
      <c r="JP803" s="2549">
        <f t="shared" si="256"/>
        <v>0</v>
      </c>
      <c r="JQ803" s="2549">
        <f t="shared" si="257"/>
        <v>0</v>
      </c>
    </row>
    <row r="804" spans="1:278" ht="12" customHeight="1">
      <c r="A804" s="2562" t="str">
        <f t="shared" si="0"/>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1"/>
        <v>0</v>
      </c>
      <c r="L804" s="2576">
        <f t="shared" si="2"/>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2579" t="str">
        <f t="shared" si="133"/>
        <v/>
      </c>
      <c r="EX804" s="2579" t="str">
        <f t="shared" si="134"/>
        <v/>
      </c>
      <c r="EY804" s="2579" t="str">
        <f t="shared" si="135"/>
        <v/>
      </c>
      <c r="EZ804" s="2579" t="str">
        <f t="shared" si="136"/>
        <v/>
      </c>
      <c r="FA804" s="2579" t="str">
        <f t="shared" si="137"/>
        <v/>
      </c>
      <c r="FB804" s="2579" t="str">
        <f t="shared" si="138"/>
        <v/>
      </c>
      <c r="FC804" s="2579" t="str">
        <f t="shared" si="139"/>
        <v/>
      </c>
      <c r="FD804" s="2579" t="str">
        <f t="shared" si="140"/>
        <v/>
      </c>
      <c r="FE804" s="2579" t="str">
        <f t="shared" si="141"/>
        <v/>
      </c>
      <c r="FF804" s="2579" t="str">
        <f t="shared" si="142"/>
        <v/>
      </c>
      <c r="FG804" s="2579" t="str">
        <f t="shared" si="143"/>
        <v/>
      </c>
      <c r="FH804" s="2579" t="str">
        <f t="shared" si="144"/>
        <v/>
      </c>
      <c r="FI804" s="2579" t="str">
        <f t="shared" si="145"/>
        <v/>
      </c>
      <c r="FJ804" s="2579" t="str">
        <f t="shared" si="146"/>
        <v/>
      </c>
      <c r="FK804" s="2579" t="str">
        <f t="shared" si="147"/>
        <v/>
      </c>
      <c r="FL804" s="2579" t="str">
        <f t="shared" si="148"/>
        <v/>
      </c>
      <c r="FM804" s="2579" t="str">
        <f t="shared" si="149"/>
        <v/>
      </c>
      <c r="FN804" s="2579" t="str">
        <f t="shared" si="150"/>
        <v/>
      </c>
      <c r="FO804" s="2579" t="str">
        <f t="shared" si="151"/>
        <v/>
      </c>
      <c r="FP804" s="2579" t="str">
        <f t="shared" si="152"/>
        <v/>
      </c>
      <c r="FQ804" s="2579" t="str">
        <f t="shared" si="153"/>
        <v/>
      </c>
      <c r="FR804" s="2579" t="str">
        <f t="shared" si="154"/>
        <v/>
      </c>
      <c r="FS804" s="2579" t="str">
        <f t="shared" si="155"/>
        <v/>
      </c>
      <c r="FT804" s="2579" t="str">
        <f t="shared" si="156"/>
        <v/>
      </c>
      <c r="FU804" s="2579" t="str">
        <f t="shared" si="157"/>
        <v/>
      </c>
      <c r="FV804" s="2579" t="str">
        <f t="shared" si="158"/>
        <v/>
      </c>
      <c r="FW804" s="2579" t="str">
        <f t="shared" si="159"/>
        <v/>
      </c>
      <c r="FX804" s="2579" t="str">
        <f t="shared" si="160"/>
        <v/>
      </c>
      <c r="FY804" s="2579" t="str">
        <f t="shared" si="161"/>
        <v/>
      </c>
      <c r="FZ804" s="2579" t="str">
        <f t="shared" si="162"/>
        <v/>
      </c>
      <c r="GA804" s="2579" t="str">
        <f t="shared" si="163"/>
        <v/>
      </c>
      <c r="GB804" s="2579" t="str">
        <f t="shared" si="164"/>
        <v/>
      </c>
      <c r="GC804" s="2579" t="str">
        <f t="shared" si="165"/>
        <v/>
      </c>
      <c r="GD804" s="2579" t="str">
        <f t="shared" si="166"/>
        <v/>
      </c>
      <c r="GE804" s="2579" t="str">
        <f t="shared" si="167"/>
        <v/>
      </c>
      <c r="GF804" s="2579" t="str">
        <f t="shared" si="168"/>
        <v/>
      </c>
      <c r="GG804" s="2579" t="str">
        <f t="shared" si="169"/>
        <v/>
      </c>
      <c r="GH804" s="2579" t="str">
        <f t="shared" si="170"/>
        <v/>
      </c>
      <c r="GI804" s="2579" t="str">
        <f t="shared" si="171"/>
        <v/>
      </c>
      <c r="GJ804" s="2579" t="str">
        <f t="shared" si="172"/>
        <v/>
      </c>
      <c r="GK804" s="2579" t="str">
        <f t="shared" si="173"/>
        <v/>
      </c>
      <c r="GL804" s="2579" t="str">
        <f t="shared" si="174"/>
        <v/>
      </c>
      <c r="GM804" s="2579" t="str">
        <f t="shared" si="175"/>
        <v/>
      </c>
      <c r="GN804" s="2579" t="str">
        <f t="shared" si="176"/>
        <v/>
      </c>
      <c r="GO804" s="2579" t="str">
        <f t="shared" si="177"/>
        <v/>
      </c>
      <c r="GP804" s="2579" t="str">
        <f t="shared" si="178"/>
        <v/>
      </c>
      <c r="GQ804" s="2579" t="str">
        <f t="shared" si="179"/>
        <v/>
      </c>
      <c r="GR804" s="2579" t="str">
        <f t="shared" si="180"/>
        <v/>
      </c>
      <c r="GS804" s="2579" t="str">
        <f t="shared" si="181"/>
        <v/>
      </c>
      <c r="GT804" s="2579" t="str">
        <f t="shared" si="182"/>
        <v/>
      </c>
      <c r="GU804" s="2579" t="str">
        <f t="shared" si="183"/>
        <v/>
      </c>
      <c r="GV804" s="2579" t="str">
        <f t="shared" si="184"/>
        <v/>
      </c>
      <c r="GW804" s="2579" t="str">
        <f t="shared" si="185"/>
        <v/>
      </c>
      <c r="GX804" s="2579" t="str">
        <f t="shared" si="186"/>
        <v/>
      </c>
      <c r="GY804" s="2579" t="str">
        <f t="shared" si="187"/>
        <v/>
      </c>
      <c r="GZ804" s="2579" t="str">
        <f t="shared" si="188"/>
        <v/>
      </c>
      <c r="HA804" s="2579" t="str">
        <f t="shared" si="189"/>
        <v/>
      </c>
      <c r="HB804" s="2579" t="str">
        <f t="shared" si="190"/>
        <v/>
      </c>
      <c r="HC804" s="2579" t="str">
        <f t="shared" si="191"/>
        <v/>
      </c>
      <c r="HD804" s="2579" t="str">
        <f t="shared" si="192"/>
        <v/>
      </c>
      <c r="HE804" s="2579" t="str">
        <f t="shared" si="193"/>
        <v/>
      </c>
      <c r="HF804" s="2579" t="str">
        <f t="shared" si="194"/>
        <v/>
      </c>
      <c r="HG804" s="2579" t="str">
        <f t="shared" si="195"/>
        <v/>
      </c>
      <c r="HH804" s="2579" t="str">
        <f t="shared" si="196"/>
        <v/>
      </c>
      <c r="HI804" s="2579" t="str">
        <f t="shared" si="197"/>
        <v/>
      </c>
      <c r="HJ804" s="2579" t="str">
        <f t="shared" si="198"/>
        <v/>
      </c>
      <c r="HK804" s="2579" t="str">
        <f t="shared" si="199"/>
        <v/>
      </c>
      <c r="HL804" s="2579" t="str">
        <f t="shared" si="200"/>
        <v/>
      </c>
      <c r="HM804" s="2579" t="str">
        <f t="shared" si="201"/>
        <v/>
      </c>
      <c r="HN804" s="2579" t="str">
        <f t="shared" si="202"/>
        <v/>
      </c>
      <c r="HO804" s="2579" t="str">
        <f t="shared" si="203"/>
        <v/>
      </c>
      <c r="HP804" s="2579" t="str">
        <f t="shared" si="204"/>
        <v/>
      </c>
      <c r="HQ804" s="2579" t="str">
        <f t="shared" si="205"/>
        <v/>
      </c>
      <c r="HR804" s="2579" t="str">
        <f t="shared" si="206"/>
        <v/>
      </c>
      <c r="HS804" s="2579" t="str">
        <f t="shared" si="207"/>
        <v/>
      </c>
      <c r="HT804" s="2579" t="str">
        <f t="shared" si="208"/>
        <v/>
      </c>
      <c r="HU804" s="2579" t="str">
        <f t="shared" si="209"/>
        <v/>
      </c>
      <c r="HV804" s="2579" t="str">
        <f t="shared" si="210"/>
        <v/>
      </c>
      <c r="HW804" s="2579" t="str">
        <f t="shared" si="211"/>
        <v/>
      </c>
      <c r="HX804" s="2579" t="str">
        <f t="shared" si="212"/>
        <v/>
      </c>
      <c r="HY804" s="2579" t="str">
        <f t="shared" si="213"/>
        <v/>
      </c>
      <c r="HZ804" s="2579" t="str">
        <f t="shared" si="214"/>
        <v/>
      </c>
      <c r="IA804" s="2579" t="str">
        <f t="shared" si="215"/>
        <v/>
      </c>
      <c r="IB804" s="2579" t="str">
        <f t="shared" si="216"/>
        <v/>
      </c>
      <c r="IC804" s="2579" t="str">
        <f t="shared" si="217"/>
        <v/>
      </c>
      <c r="ID804" s="2551" t="str">
        <f t="shared" si="218"/>
        <v/>
      </c>
      <c r="IE804" s="2551" t="str">
        <f t="shared" si="219"/>
        <v/>
      </c>
      <c r="IF804" s="2551" t="str">
        <f t="shared" si="220"/>
        <v/>
      </c>
      <c r="IG804" s="2551" t="str">
        <f t="shared" si="221"/>
        <v/>
      </c>
      <c r="IH804" s="2551"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2549">
        <f t="shared" si="243"/>
        <v>0</v>
      </c>
      <c r="JD804" s="2549">
        <f t="shared" si="244"/>
        <v>0</v>
      </c>
      <c r="JE804" s="2549">
        <f t="shared" si="245"/>
        <v>0</v>
      </c>
      <c r="JF804" s="2549">
        <f t="shared" si="246"/>
        <v>0</v>
      </c>
      <c r="JG804" s="2549">
        <f t="shared" si="247"/>
        <v>0</v>
      </c>
      <c r="JH804" s="2549">
        <f t="shared" si="248"/>
        <v>0</v>
      </c>
      <c r="JI804" s="2549">
        <f t="shared" si="249"/>
        <v>0</v>
      </c>
      <c r="JJ804" s="2549">
        <f t="shared" si="250"/>
        <v>0</v>
      </c>
      <c r="JK804" s="2549">
        <f t="shared" si="251"/>
        <v>0</v>
      </c>
      <c r="JL804" s="2549">
        <f t="shared" si="252"/>
        <v>0</v>
      </c>
      <c r="JM804" s="2549">
        <f t="shared" si="253"/>
        <v>0</v>
      </c>
      <c r="JN804" s="2549">
        <f t="shared" si="254"/>
        <v>0</v>
      </c>
      <c r="JO804" s="2549">
        <f t="shared" si="255"/>
        <v>0</v>
      </c>
      <c r="JP804" s="2549">
        <f t="shared" si="256"/>
        <v>0</v>
      </c>
      <c r="JQ804" s="2549">
        <f t="shared" si="257"/>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50</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54700</v>
      </c>
      <c r="G805" s="479"/>
      <c r="H805" s="479"/>
      <c r="I805" s="479"/>
      <c r="J805" s="479"/>
      <c r="K805" s="2583" t="s">
        <v>1314</v>
      </c>
      <c r="L805" s="2581">
        <f>SUM(L767:L804)</f>
        <v>24962</v>
      </c>
      <c r="M805" s="2354"/>
      <c r="N805" s="2354"/>
      <c r="O805" s="2354"/>
      <c r="P805" s="2354"/>
      <c r="Q805" s="2354"/>
      <c r="R805" s="2354"/>
      <c r="S805" s="2354"/>
      <c r="T805" s="2354"/>
      <c r="U805" s="2561"/>
      <c r="V805" s="2584"/>
      <c r="W805" s="2584">
        <f t="shared" ref="W805:CH805" si="258">SUM(W767:W804)</f>
        <v>0</v>
      </c>
      <c r="X805" s="2584">
        <f t="shared" si="258"/>
        <v>4</v>
      </c>
      <c r="Y805" s="2584">
        <f t="shared" si="258"/>
        <v>20</v>
      </c>
      <c r="Z805" s="2584">
        <f t="shared" si="258"/>
        <v>16</v>
      </c>
      <c r="AA805" s="2584">
        <f t="shared" si="258"/>
        <v>0</v>
      </c>
      <c r="AB805" s="2584">
        <f t="shared" si="258"/>
        <v>0</v>
      </c>
      <c r="AC805" s="2584">
        <f t="shared" si="258"/>
        <v>2</v>
      </c>
      <c r="AD805" s="2584">
        <f t="shared" si="258"/>
        <v>4</v>
      </c>
      <c r="AE805" s="2584">
        <f t="shared" si="258"/>
        <v>4</v>
      </c>
      <c r="AF805" s="2584">
        <f t="shared" si="258"/>
        <v>0</v>
      </c>
      <c r="AG805" s="2584">
        <f t="shared" si="258"/>
        <v>0</v>
      </c>
      <c r="AH805" s="2584">
        <f t="shared" si="258"/>
        <v>0</v>
      </c>
      <c r="AI805" s="2584">
        <f t="shared" si="258"/>
        <v>0</v>
      </c>
      <c r="AJ805" s="2584">
        <f t="shared" si="258"/>
        <v>0</v>
      </c>
      <c r="AK805" s="2584">
        <f t="shared" si="258"/>
        <v>0</v>
      </c>
      <c r="AL805" s="2584">
        <f t="shared" si="258"/>
        <v>0</v>
      </c>
      <c r="AM805" s="2584">
        <f t="shared" si="258"/>
        <v>0</v>
      </c>
      <c r="AN805" s="2584">
        <f t="shared" si="258"/>
        <v>0</v>
      </c>
      <c r="AO805" s="2584">
        <f t="shared" si="258"/>
        <v>0</v>
      </c>
      <c r="AP805" s="2584">
        <f t="shared" si="258"/>
        <v>0</v>
      </c>
      <c r="AQ805" s="2584">
        <f t="shared" si="258"/>
        <v>0</v>
      </c>
      <c r="AR805" s="2584">
        <f t="shared" si="258"/>
        <v>0</v>
      </c>
      <c r="AS805" s="2584">
        <f t="shared" si="258"/>
        <v>0</v>
      </c>
      <c r="AT805" s="2584">
        <f t="shared" si="258"/>
        <v>0</v>
      </c>
      <c r="AU805" s="2584">
        <f t="shared" si="258"/>
        <v>0</v>
      </c>
      <c r="AV805" s="2584">
        <f t="shared" si="258"/>
        <v>0</v>
      </c>
      <c r="AW805" s="2584">
        <f t="shared" si="258"/>
        <v>0</v>
      </c>
      <c r="AX805" s="2584">
        <f t="shared" si="258"/>
        <v>0</v>
      </c>
      <c r="AY805" s="2584">
        <f t="shared" si="258"/>
        <v>0</v>
      </c>
      <c r="AZ805" s="2584">
        <f t="shared" si="258"/>
        <v>0</v>
      </c>
      <c r="BA805" s="2584">
        <f t="shared" si="258"/>
        <v>0</v>
      </c>
      <c r="BB805" s="2584">
        <f t="shared" si="258"/>
        <v>0</v>
      </c>
      <c r="BC805" s="2584">
        <f t="shared" si="258"/>
        <v>0</v>
      </c>
      <c r="BD805" s="2584">
        <f t="shared" si="258"/>
        <v>0</v>
      </c>
      <c r="BE805" s="2584">
        <f t="shared" si="258"/>
        <v>0</v>
      </c>
      <c r="BF805" s="2584">
        <f t="shared" si="258"/>
        <v>0</v>
      </c>
      <c r="BG805" s="2584">
        <f t="shared" si="258"/>
        <v>0</v>
      </c>
      <c r="BH805" s="2584">
        <f t="shared" si="258"/>
        <v>0</v>
      </c>
      <c r="BI805" s="2584">
        <f t="shared" si="258"/>
        <v>0</v>
      </c>
      <c r="BJ805" s="2584">
        <f t="shared" si="258"/>
        <v>0</v>
      </c>
      <c r="BK805" s="2584">
        <f t="shared" si="258"/>
        <v>0</v>
      </c>
      <c r="BL805" s="2584">
        <f t="shared" si="258"/>
        <v>0</v>
      </c>
      <c r="BM805" s="2584">
        <f t="shared" si="258"/>
        <v>0</v>
      </c>
      <c r="BN805" s="2584">
        <f t="shared" si="258"/>
        <v>0</v>
      </c>
      <c r="BO805" s="2584">
        <f t="shared" si="258"/>
        <v>0</v>
      </c>
      <c r="BP805" s="2584">
        <f t="shared" si="258"/>
        <v>0</v>
      </c>
      <c r="BQ805" s="2584">
        <f t="shared" si="258"/>
        <v>0</v>
      </c>
      <c r="BR805" s="2584">
        <f t="shared" si="258"/>
        <v>0</v>
      </c>
      <c r="BS805" s="2584">
        <f t="shared" si="258"/>
        <v>0</v>
      </c>
      <c r="BT805" s="2584">
        <f t="shared" si="258"/>
        <v>0</v>
      </c>
      <c r="BU805" s="2584">
        <f t="shared" si="258"/>
        <v>0</v>
      </c>
      <c r="BV805" s="2584">
        <f t="shared" si="258"/>
        <v>0</v>
      </c>
      <c r="BW805" s="2584">
        <f t="shared" si="258"/>
        <v>0</v>
      </c>
      <c r="BX805" s="2584">
        <f t="shared" si="258"/>
        <v>0</v>
      </c>
      <c r="BY805" s="2584">
        <f t="shared" si="258"/>
        <v>0</v>
      </c>
      <c r="BZ805" s="2584">
        <f t="shared" si="258"/>
        <v>0</v>
      </c>
      <c r="CA805" s="2584">
        <f t="shared" si="258"/>
        <v>3000</v>
      </c>
      <c r="CB805" s="2584">
        <f t="shared" si="258"/>
        <v>21000</v>
      </c>
      <c r="CC805" s="2584">
        <f t="shared" si="258"/>
        <v>20000</v>
      </c>
      <c r="CD805" s="2584">
        <f t="shared" si="258"/>
        <v>0</v>
      </c>
      <c r="CE805" s="2584">
        <f t="shared" si="258"/>
        <v>0</v>
      </c>
      <c r="CF805" s="2584">
        <f t="shared" si="258"/>
        <v>1500</v>
      </c>
      <c r="CG805" s="2584">
        <f t="shared" si="258"/>
        <v>4200</v>
      </c>
      <c r="CH805" s="2584">
        <f t="shared" si="258"/>
        <v>5000</v>
      </c>
      <c r="CI805" s="2584">
        <f t="shared" ref="CI805:ET805" si="259">SUM(CI767:CI804)</f>
        <v>0</v>
      </c>
      <c r="CJ805" s="2584">
        <f t="shared" si="259"/>
        <v>0</v>
      </c>
      <c r="CK805" s="2584">
        <f t="shared" si="259"/>
        <v>0</v>
      </c>
      <c r="CL805" s="2584">
        <f t="shared" si="259"/>
        <v>0</v>
      </c>
      <c r="CM805" s="2584">
        <f t="shared" si="259"/>
        <v>0</v>
      </c>
      <c r="CN805" s="2584">
        <f t="shared" si="259"/>
        <v>0</v>
      </c>
      <c r="CO805" s="2584">
        <f t="shared" si="259"/>
        <v>0</v>
      </c>
      <c r="CP805" s="2584">
        <f t="shared" si="259"/>
        <v>0</v>
      </c>
      <c r="CQ805" s="2584">
        <f t="shared" si="259"/>
        <v>0</v>
      </c>
      <c r="CR805" s="2584">
        <f t="shared" si="259"/>
        <v>0</v>
      </c>
      <c r="CS805" s="2584">
        <f t="shared" si="259"/>
        <v>0</v>
      </c>
      <c r="CT805" s="2584">
        <f t="shared" si="259"/>
        <v>0</v>
      </c>
      <c r="CU805" s="2584">
        <f t="shared" si="259"/>
        <v>0</v>
      </c>
      <c r="CV805" s="2584">
        <f t="shared" si="259"/>
        <v>0</v>
      </c>
      <c r="CW805" s="2584">
        <f t="shared" si="259"/>
        <v>0</v>
      </c>
      <c r="CX805" s="2584">
        <f t="shared" si="259"/>
        <v>0</v>
      </c>
      <c r="CY805" s="2584">
        <f t="shared" si="259"/>
        <v>0</v>
      </c>
      <c r="CZ805" s="2584">
        <f t="shared" si="259"/>
        <v>0</v>
      </c>
      <c r="DA805" s="2584">
        <f t="shared" si="259"/>
        <v>0</v>
      </c>
      <c r="DB805" s="2584">
        <f t="shared" si="259"/>
        <v>0</v>
      </c>
      <c r="DC805" s="2584">
        <f t="shared" si="259"/>
        <v>0</v>
      </c>
      <c r="DD805" s="2584">
        <f t="shared" si="259"/>
        <v>0</v>
      </c>
      <c r="DE805" s="2584">
        <f t="shared" si="259"/>
        <v>6</v>
      </c>
      <c r="DF805" s="2584">
        <f t="shared" si="259"/>
        <v>24</v>
      </c>
      <c r="DG805" s="2584">
        <f t="shared" si="259"/>
        <v>20</v>
      </c>
      <c r="DH805" s="2584">
        <f t="shared" si="259"/>
        <v>0</v>
      </c>
      <c r="DI805" s="2584">
        <f t="shared" si="259"/>
        <v>0</v>
      </c>
      <c r="DJ805" s="2584">
        <f t="shared" si="259"/>
        <v>0</v>
      </c>
      <c r="DK805" s="2584">
        <f t="shared" si="259"/>
        <v>0</v>
      </c>
      <c r="DL805" s="2584">
        <f t="shared" si="259"/>
        <v>0</v>
      </c>
      <c r="DM805" s="2584">
        <f t="shared" si="259"/>
        <v>0</v>
      </c>
      <c r="DN805" s="2584">
        <f t="shared" si="259"/>
        <v>0</v>
      </c>
      <c r="DO805" s="2584">
        <f t="shared" si="259"/>
        <v>0</v>
      </c>
      <c r="DP805" s="2584">
        <f t="shared" si="259"/>
        <v>0</v>
      </c>
      <c r="DQ805" s="2584">
        <f t="shared" si="259"/>
        <v>0</v>
      </c>
      <c r="DR805" s="2584">
        <f t="shared" si="259"/>
        <v>0</v>
      </c>
      <c r="DS805" s="2584">
        <f t="shared" si="259"/>
        <v>0</v>
      </c>
      <c r="DT805" s="2584">
        <f t="shared" si="259"/>
        <v>0</v>
      </c>
      <c r="DU805" s="2584">
        <f t="shared" si="259"/>
        <v>0</v>
      </c>
      <c r="DV805" s="2584">
        <f t="shared" si="259"/>
        <v>0</v>
      </c>
      <c r="DW805" s="2584">
        <f t="shared" si="259"/>
        <v>0</v>
      </c>
      <c r="DX805" s="2584">
        <f t="shared" si="259"/>
        <v>0</v>
      </c>
      <c r="DY805" s="2584">
        <f t="shared" si="259"/>
        <v>0</v>
      </c>
      <c r="DZ805" s="2584">
        <f t="shared" si="259"/>
        <v>0</v>
      </c>
      <c r="EA805" s="2584">
        <f t="shared" si="259"/>
        <v>0</v>
      </c>
      <c r="EB805" s="2584">
        <f t="shared" si="259"/>
        <v>0</v>
      </c>
      <c r="EC805" s="2584">
        <f t="shared" si="259"/>
        <v>0</v>
      </c>
      <c r="ED805" s="2584">
        <f t="shared" si="259"/>
        <v>0</v>
      </c>
      <c r="EE805" s="2584">
        <f t="shared" si="259"/>
        <v>0</v>
      </c>
      <c r="EF805" s="2584">
        <f t="shared" si="259"/>
        <v>0</v>
      </c>
      <c r="EG805" s="2584">
        <f t="shared" si="259"/>
        <v>0</v>
      </c>
      <c r="EH805" s="2584">
        <f t="shared" si="259"/>
        <v>0</v>
      </c>
      <c r="EI805" s="2584">
        <f t="shared" si="259"/>
        <v>0</v>
      </c>
      <c r="EJ805" s="2584">
        <f t="shared" si="259"/>
        <v>0</v>
      </c>
      <c r="EK805" s="2584">
        <f t="shared" si="259"/>
        <v>0</v>
      </c>
      <c r="EL805" s="2584">
        <f t="shared" si="259"/>
        <v>0</v>
      </c>
      <c r="EM805" s="2584">
        <f t="shared" si="259"/>
        <v>0</v>
      </c>
      <c r="EN805" s="2584">
        <f t="shared" si="259"/>
        <v>0</v>
      </c>
      <c r="EO805" s="2584">
        <f t="shared" si="259"/>
        <v>0</v>
      </c>
      <c r="EP805" s="2584">
        <f t="shared" si="259"/>
        <v>0</v>
      </c>
      <c r="EQ805" s="2584">
        <f t="shared" si="259"/>
        <v>0</v>
      </c>
      <c r="ER805" s="2584">
        <f t="shared" si="259"/>
        <v>0</v>
      </c>
      <c r="ES805" s="2584">
        <f t="shared" si="259"/>
        <v>0</v>
      </c>
      <c r="ET805" s="2584">
        <f t="shared" si="259"/>
        <v>0</v>
      </c>
      <c r="EU805" s="2584">
        <f t="shared" ref="EU805:HF805" si="260">SUM(EU767:EU804)</f>
        <v>0</v>
      </c>
      <c r="EV805" s="2584">
        <f t="shared" si="260"/>
        <v>0</v>
      </c>
      <c r="EW805" s="2584">
        <f t="shared" si="260"/>
        <v>0</v>
      </c>
      <c r="EX805" s="2584">
        <f t="shared" si="260"/>
        <v>0</v>
      </c>
      <c r="EY805" s="2584">
        <f t="shared" si="260"/>
        <v>0</v>
      </c>
      <c r="EZ805" s="2584">
        <f t="shared" si="260"/>
        <v>0</v>
      </c>
      <c r="FA805" s="2584">
        <f t="shared" si="260"/>
        <v>0</v>
      </c>
      <c r="FB805" s="2584">
        <f t="shared" si="260"/>
        <v>0</v>
      </c>
      <c r="FC805" s="2584">
        <f t="shared" si="260"/>
        <v>0</v>
      </c>
      <c r="FD805" s="2584">
        <f t="shared" si="260"/>
        <v>0</v>
      </c>
      <c r="FE805" s="2584">
        <f t="shared" si="260"/>
        <v>0</v>
      </c>
      <c r="FF805" s="2584">
        <f t="shared" si="260"/>
        <v>0</v>
      </c>
      <c r="FG805" s="2584">
        <f t="shared" si="260"/>
        <v>0</v>
      </c>
      <c r="FH805" s="2584">
        <f t="shared" si="260"/>
        <v>0</v>
      </c>
      <c r="FI805" s="2584">
        <f t="shared" si="260"/>
        <v>0</v>
      </c>
      <c r="FJ805" s="2584">
        <f t="shared" si="260"/>
        <v>0</v>
      </c>
      <c r="FK805" s="2584">
        <f t="shared" si="260"/>
        <v>0</v>
      </c>
      <c r="FL805" s="2584">
        <f t="shared" si="260"/>
        <v>0</v>
      </c>
      <c r="FM805" s="2584">
        <f t="shared" si="260"/>
        <v>0</v>
      </c>
      <c r="FN805" s="2584">
        <f t="shared" si="260"/>
        <v>0</v>
      </c>
      <c r="FO805" s="2584">
        <f t="shared" si="260"/>
        <v>0</v>
      </c>
      <c r="FP805" s="2584">
        <f t="shared" si="260"/>
        <v>0</v>
      </c>
      <c r="FQ805" s="2584">
        <f t="shared" si="260"/>
        <v>0</v>
      </c>
      <c r="FR805" s="2584">
        <f t="shared" si="260"/>
        <v>0</v>
      </c>
      <c r="FS805" s="2584">
        <f t="shared" si="260"/>
        <v>0</v>
      </c>
      <c r="FT805" s="2584">
        <f t="shared" si="260"/>
        <v>0</v>
      </c>
      <c r="FU805" s="2584">
        <f t="shared" si="260"/>
        <v>0</v>
      </c>
      <c r="FV805" s="2584">
        <f t="shared" si="260"/>
        <v>0</v>
      </c>
      <c r="FW805" s="2584">
        <f t="shared" si="260"/>
        <v>0</v>
      </c>
      <c r="FX805" s="2584">
        <f t="shared" si="260"/>
        <v>0</v>
      </c>
      <c r="FY805" s="2584">
        <f t="shared" si="260"/>
        <v>0</v>
      </c>
      <c r="FZ805" s="2584">
        <f t="shared" si="260"/>
        <v>0</v>
      </c>
      <c r="GA805" s="2584">
        <f t="shared" si="260"/>
        <v>0</v>
      </c>
      <c r="GB805" s="2584">
        <f t="shared" si="260"/>
        <v>0</v>
      </c>
      <c r="GC805" s="2584">
        <f t="shared" si="260"/>
        <v>0</v>
      </c>
      <c r="GD805" s="2584">
        <f t="shared" si="260"/>
        <v>0</v>
      </c>
      <c r="GE805" s="2584">
        <f t="shared" si="260"/>
        <v>0</v>
      </c>
      <c r="GF805" s="2584">
        <f t="shared" si="260"/>
        <v>0</v>
      </c>
      <c r="GG805" s="2584">
        <f t="shared" si="260"/>
        <v>6</v>
      </c>
      <c r="GH805" s="2584">
        <f t="shared" si="260"/>
        <v>24</v>
      </c>
      <c r="GI805" s="2584">
        <f t="shared" si="260"/>
        <v>20</v>
      </c>
      <c r="GJ805" s="2584">
        <f t="shared" si="260"/>
        <v>0</v>
      </c>
      <c r="GK805" s="2584">
        <f t="shared" si="260"/>
        <v>0</v>
      </c>
      <c r="GL805" s="2584">
        <f t="shared" si="260"/>
        <v>0</v>
      </c>
      <c r="GM805" s="2584">
        <f t="shared" si="260"/>
        <v>0</v>
      </c>
      <c r="GN805" s="2584">
        <f t="shared" si="260"/>
        <v>0</v>
      </c>
      <c r="GO805" s="2584">
        <f t="shared" si="260"/>
        <v>0</v>
      </c>
      <c r="GP805" s="2584">
        <f t="shared" si="260"/>
        <v>0</v>
      </c>
      <c r="GQ805" s="2584">
        <f t="shared" si="260"/>
        <v>0</v>
      </c>
      <c r="GR805" s="2584">
        <f t="shared" si="260"/>
        <v>0</v>
      </c>
      <c r="GS805" s="2584">
        <f t="shared" si="260"/>
        <v>0</v>
      </c>
      <c r="GT805" s="2584">
        <f t="shared" si="260"/>
        <v>0</v>
      </c>
      <c r="GU805" s="2584">
        <f t="shared" si="260"/>
        <v>0</v>
      </c>
      <c r="GV805" s="2584">
        <f t="shared" si="260"/>
        <v>0</v>
      </c>
      <c r="GW805" s="2584">
        <f t="shared" si="260"/>
        <v>0</v>
      </c>
      <c r="GX805" s="2584">
        <f t="shared" si="260"/>
        <v>0</v>
      </c>
      <c r="GY805" s="2584">
        <f t="shared" si="260"/>
        <v>0</v>
      </c>
      <c r="GZ805" s="2584">
        <f t="shared" si="260"/>
        <v>0</v>
      </c>
      <c r="HA805" s="2584">
        <f t="shared" si="260"/>
        <v>0</v>
      </c>
      <c r="HB805" s="2584">
        <f t="shared" si="260"/>
        <v>0</v>
      </c>
      <c r="HC805" s="2584">
        <f t="shared" si="260"/>
        <v>0</v>
      </c>
      <c r="HD805" s="2584">
        <f t="shared" si="260"/>
        <v>0</v>
      </c>
      <c r="HE805" s="2584">
        <f t="shared" si="260"/>
        <v>0</v>
      </c>
      <c r="HF805" s="2584">
        <f t="shared" si="260"/>
        <v>0</v>
      </c>
      <c r="HG805" s="2584">
        <f t="shared" ref="HG805:JR805" si="261">SUM(HG767:HG804)</f>
        <v>0</v>
      </c>
      <c r="HH805" s="2584">
        <f t="shared" si="261"/>
        <v>0</v>
      </c>
      <c r="HI805" s="2584">
        <f t="shared" si="261"/>
        <v>0</v>
      </c>
      <c r="HJ805" s="2584">
        <f t="shared" si="261"/>
        <v>0</v>
      </c>
      <c r="HK805" s="2584">
        <f t="shared" si="261"/>
        <v>0</v>
      </c>
      <c r="HL805" s="2584">
        <f t="shared" si="261"/>
        <v>0</v>
      </c>
      <c r="HM805" s="2584">
        <f t="shared" si="261"/>
        <v>0</v>
      </c>
      <c r="HN805" s="2584">
        <f t="shared" si="261"/>
        <v>0</v>
      </c>
      <c r="HO805" s="2584">
        <f t="shared" si="261"/>
        <v>0</v>
      </c>
      <c r="HP805" s="2584">
        <f t="shared" si="261"/>
        <v>0</v>
      </c>
      <c r="HQ805" s="2584">
        <f t="shared" si="261"/>
        <v>0</v>
      </c>
      <c r="HR805" s="2584">
        <f t="shared" si="261"/>
        <v>0</v>
      </c>
      <c r="HS805" s="2584">
        <f t="shared" si="261"/>
        <v>0</v>
      </c>
      <c r="HT805" s="2584">
        <f t="shared" si="261"/>
        <v>0</v>
      </c>
      <c r="HU805" s="2584">
        <f t="shared" si="261"/>
        <v>0</v>
      </c>
      <c r="HV805" s="2584">
        <f t="shared" si="261"/>
        <v>0</v>
      </c>
      <c r="HW805" s="2584">
        <f t="shared" si="261"/>
        <v>0</v>
      </c>
      <c r="HX805" s="2584">
        <f t="shared" si="261"/>
        <v>0</v>
      </c>
      <c r="HY805" s="2584">
        <f t="shared" si="261"/>
        <v>0</v>
      </c>
      <c r="HZ805" s="2584">
        <f t="shared" si="261"/>
        <v>0</v>
      </c>
      <c r="IA805" s="2584">
        <f t="shared" si="261"/>
        <v>0</v>
      </c>
      <c r="IB805" s="2584">
        <f t="shared" si="261"/>
        <v>0</v>
      </c>
      <c r="IC805" s="2584">
        <f t="shared" si="261"/>
        <v>0</v>
      </c>
      <c r="ID805" s="2584">
        <f t="shared" si="261"/>
        <v>0</v>
      </c>
      <c r="IE805" s="2584">
        <f t="shared" si="261"/>
        <v>0</v>
      </c>
      <c r="IF805" s="2584">
        <f t="shared" si="261"/>
        <v>0</v>
      </c>
      <c r="IG805" s="2584">
        <f t="shared" si="261"/>
        <v>0</v>
      </c>
      <c r="IH805" s="2584">
        <f t="shared" si="261"/>
        <v>0</v>
      </c>
      <c r="II805" s="2584">
        <f t="shared" si="261"/>
        <v>0</v>
      </c>
      <c r="IJ805" s="2584">
        <f t="shared" si="261"/>
        <v>0</v>
      </c>
      <c r="IK805" s="2584">
        <f t="shared" si="261"/>
        <v>0</v>
      </c>
      <c r="IL805" s="2584">
        <f t="shared" si="261"/>
        <v>0</v>
      </c>
      <c r="IM805" s="2584">
        <f t="shared" si="261"/>
        <v>0</v>
      </c>
      <c r="IN805" s="2584">
        <f t="shared" si="261"/>
        <v>0</v>
      </c>
      <c r="IO805" s="2584">
        <f t="shared" si="261"/>
        <v>0</v>
      </c>
      <c r="IP805" s="2584">
        <f t="shared" si="261"/>
        <v>0</v>
      </c>
      <c r="IQ805" s="2584">
        <f t="shared" si="261"/>
        <v>0</v>
      </c>
      <c r="IR805" s="2584">
        <f t="shared" si="261"/>
        <v>0</v>
      </c>
      <c r="IS805" s="2584">
        <f t="shared" si="261"/>
        <v>0</v>
      </c>
      <c r="IT805" s="2584">
        <f t="shared" si="261"/>
        <v>0</v>
      </c>
      <c r="IU805" s="2584">
        <f t="shared" si="261"/>
        <v>0</v>
      </c>
      <c r="IV805" s="2584">
        <f t="shared" si="261"/>
        <v>0</v>
      </c>
      <c r="IW805" s="2584">
        <f t="shared" si="261"/>
        <v>0</v>
      </c>
      <c r="IX805" s="2584">
        <f t="shared" si="261"/>
        <v>0</v>
      </c>
      <c r="IY805" s="2584">
        <f t="shared" si="261"/>
        <v>0</v>
      </c>
      <c r="IZ805" s="2584">
        <f t="shared" si="261"/>
        <v>0</v>
      </c>
      <c r="JA805" s="2584">
        <f t="shared" si="261"/>
        <v>0</v>
      </c>
      <c r="JB805" s="2584">
        <f t="shared" si="261"/>
        <v>0</v>
      </c>
      <c r="JC805" s="2584">
        <f t="shared" si="261"/>
        <v>0</v>
      </c>
      <c r="JD805" s="2584">
        <f t="shared" si="261"/>
        <v>0</v>
      </c>
      <c r="JE805" s="2584">
        <f t="shared" si="261"/>
        <v>0</v>
      </c>
      <c r="JF805" s="2584">
        <f t="shared" si="261"/>
        <v>0</v>
      </c>
      <c r="JG805" s="2584">
        <f t="shared" si="261"/>
        <v>0</v>
      </c>
      <c r="JH805" s="2584">
        <f t="shared" si="261"/>
        <v>0</v>
      </c>
      <c r="JI805" s="2584">
        <f t="shared" si="261"/>
        <v>6</v>
      </c>
      <c r="JJ805" s="2584">
        <f t="shared" si="261"/>
        <v>24</v>
      </c>
      <c r="JK805" s="2584">
        <f t="shared" si="261"/>
        <v>20</v>
      </c>
      <c r="JL805" s="2584">
        <f t="shared" si="261"/>
        <v>0</v>
      </c>
      <c r="JM805" s="2584">
        <f t="shared" si="261"/>
        <v>0</v>
      </c>
      <c r="JN805" s="2584">
        <f t="shared" si="261"/>
        <v>0</v>
      </c>
      <c r="JO805" s="2584">
        <f t="shared" si="261"/>
        <v>0</v>
      </c>
      <c r="JP805" s="2584">
        <f t="shared" si="261"/>
        <v>0</v>
      </c>
      <c r="JQ805" s="2584">
        <f t="shared" si="261"/>
        <v>0</v>
      </c>
      <c r="JR805" s="2584">
        <f t="shared" si="261"/>
        <v>0</v>
      </c>
    </row>
    <row r="806" spans="1:278" ht="12" customHeight="1">
      <c r="B806" s="2354"/>
      <c r="D806" s="2585"/>
      <c r="E806" s="2581"/>
      <c r="F806" s="2581"/>
      <c r="G806" s="479"/>
      <c r="H806" s="479"/>
      <c r="I806" s="479"/>
      <c r="J806" s="479"/>
      <c r="K806" s="2580" t="s">
        <v>822</v>
      </c>
      <c r="L806" s="2581">
        <f>L805*12</f>
        <v>299544</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4748</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1858</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4</v>
      </c>
      <c r="L813" s="2590">
        <f>Y805</f>
        <v>20</v>
      </c>
      <c r="M813" s="2590">
        <f>Z805</f>
        <v>16</v>
      </c>
      <c r="N813" s="2590">
        <f>AA805</f>
        <v>0</v>
      </c>
      <c r="O813" s="2590">
        <f t="shared" ref="O813:O819" si="262">SUM(J813:N813)</f>
        <v>40</v>
      </c>
      <c r="P813" s="2517" t="s">
        <v>3694</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2</v>
      </c>
      <c r="L814" s="2590">
        <f>AD805</f>
        <v>4</v>
      </c>
      <c r="M814" s="2590">
        <f>AE805</f>
        <v>4</v>
      </c>
      <c r="N814" s="2590">
        <f>AF805</f>
        <v>0</v>
      </c>
      <c r="O814" s="2590">
        <f t="shared" si="262"/>
        <v>10</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6</v>
      </c>
      <c r="L815" s="2590">
        <f>SUM(L813:L814)</f>
        <v>24</v>
      </c>
      <c r="M815" s="2590">
        <f>SUM(M813:M814)</f>
        <v>20</v>
      </c>
      <c r="N815" s="2590">
        <f>SUM(N813:N814)</f>
        <v>0</v>
      </c>
      <c r="O815" s="2590">
        <f t="shared" si="262"/>
        <v>50</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2"/>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6</v>
      </c>
      <c r="L817" s="2590">
        <f>SUM(L815:L816)</f>
        <v>24</v>
      </c>
      <c r="M817" s="2590">
        <f>SUM(M815:M816)</f>
        <v>20</v>
      </c>
      <c r="N817" s="2590">
        <f>SUM(N815:N816)</f>
        <v>0</v>
      </c>
      <c r="O817" s="2590">
        <f t="shared" si="262"/>
        <v>50</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2527</v>
      </c>
      <c r="D818" s="2354"/>
      <c r="E818" s="2354"/>
      <c r="F818" s="2354"/>
      <c r="H818" s="478"/>
      <c r="J818" s="2590">
        <f>BU805</f>
        <v>0</v>
      </c>
      <c r="K818" s="2590">
        <f>BV805</f>
        <v>0</v>
      </c>
      <c r="L818" s="2590">
        <f>BW805</f>
        <v>0</v>
      </c>
      <c r="M818" s="2590">
        <f>BX805</f>
        <v>0</v>
      </c>
      <c r="N818" s="2590">
        <f>BY805</f>
        <v>0</v>
      </c>
      <c r="O818" s="2590">
        <f t="shared" si="262"/>
        <v>0</v>
      </c>
      <c r="P818" s="2356" t="s">
        <v>3695</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6</v>
      </c>
      <c r="L819" s="2590">
        <f>SUM(L817:L818)</f>
        <v>24</v>
      </c>
      <c r="M819" s="2590">
        <f>SUM(M817:M818)</f>
        <v>20</v>
      </c>
      <c r="N819" s="2590">
        <f>SUM(N817:N818)</f>
        <v>0</v>
      </c>
      <c r="O819" s="2590">
        <f t="shared" si="262"/>
        <v>50</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2528</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2528</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2310</v>
      </c>
      <c r="F829" s="2354"/>
      <c r="H829" s="478" t="s">
        <v>1444</v>
      </c>
      <c r="J829" s="2590">
        <f>DD805</f>
        <v>0</v>
      </c>
      <c r="K829" s="2590">
        <f>DE805</f>
        <v>6</v>
      </c>
      <c r="L829" s="2590">
        <f>DF805</f>
        <v>24</v>
      </c>
      <c r="M829" s="2590">
        <f>DG805</f>
        <v>20</v>
      </c>
      <c r="N829" s="2590">
        <f>DH805</f>
        <v>0</v>
      </c>
      <c r="O829" s="2590">
        <f t="shared" ref="O829:O839" si="263">SUM(J829:N829)</f>
        <v>50</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3"/>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6</v>
      </c>
      <c r="L831" s="2590">
        <f>SUM(L829:L830)+DP805</f>
        <v>24</v>
      </c>
      <c r="M831" s="2590">
        <f>SUM(M829:M830)+DQ805</f>
        <v>20</v>
      </c>
      <c r="N831" s="2590">
        <f>SUM(N829:N830)+DR805</f>
        <v>0</v>
      </c>
      <c r="O831" s="2590">
        <f t="shared" si="263"/>
        <v>50</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2152</v>
      </c>
      <c r="F832" s="2354"/>
      <c r="H832" s="478" t="s">
        <v>1444</v>
      </c>
      <c r="J832" s="2590">
        <f>DS805</f>
        <v>0</v>
      </c>
      <c r="K832" s="2590">
        <f>DT805</f>
        <v>0</v>
      </c>
      <c r="L832" s="2590">
        <f>DU805</f>
        <v>0</v>
      </c>
      <c r="M832" s="2590">
        <f>DV805</f>
        <v>0</v>
      </c>
      <c r="N832" s="2590">
        <f>DW805</f>
        <v>0</v>
      </c>
      <c r="O832" s="2590">
        <f t="shared" si="263"/>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3"/>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3"/>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3"/>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3"/>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3"/>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3"/>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4546</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3"/>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3377</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4749</v>
      </c>
      <c r="D843" s="2500"/>
      <c r="E843" s="2555" t="s">
        <v>40</v>
      </c>
      <c r="F843" s="2354"/>
      <c r="G843" s="2356"/>
      <c r="J843" s="2590">
        <f t="shared" ref="J843:O843" si="264">SUM(J844:J851)</f>
        <v>0</v>
      </c>
      <c r="K843" s="2590">
        <f t="shared" si="264"/>
        <v>0</v>
      </c>
      <c r="L843" s="2590">
        <f t="shared" si="264"/>
        <v>0</v>
      </c>
      <c r="M843" s="2590">
        <f t="shared" si="264"/>
        <v>0</v>
      </c>
      <c r="N843" s="2590">
        <f t="shared" si="264"/>
        <v>0</v>
      </c>
      <c r="O843" s="2590">
        <f t="shared" si="264"/>
        <v>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2620</v>
      </c>
      <c r="J844" s="2590">
        <f>GP805</f>
        <v>0</v>
      </c>
      <c r="K844" s="2590">
        <f>GQ805</f>
        <v>0</v>
      </c>
      <c r="L844" s="2590">
        <f>GR805</f>
        <v>0</v>
      </c>
      <c r="M844" s="2590">
        <f>GS805</f>
        <v>0</v>
      </c>
      <c r="N844" s="2590">
        <f>GT805</f>
        <v>0</v>
      </c>
      <c r="O844" s="2590">
        <f t="shared" ref="O844:O859" si="265">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3377</v>
      </c>
      <c r="J845" s="2590">
        <f>GU805</f>
        <v>0</v>
      </c>
      <c r="K845" s="2590">
        <f>GV805</f>
        <v>0</v>
      </c>
      <c r="L845" s="2590">
        <f>GW805</f>
        <v>0</v>
      </c>
      <c r="M845" s="2590">
        <f>GX805</f>
        <v>0</v>
      </c>
      <c r="N845" s="2590">
        <f>GY805</f>
        <v>0</v>
      </c>
      <c r="O845" s="2590">
        <f t="shared" si="265"/>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2621</v>
      </c>
      <c r="J846" s="2590">
        <f>GZ805</f>
        <v>0</v>
      </c>
      <c r="K846" s="2590">
        <f>HA805</f>
        <v>0</v>
      </c>
      <c r="L846" s="2590">
        <f>HB805</f>
        <v>0</v>
      </c>
      <c r="M846" s="2590">
        <f>HC805</f>
        <v>0</v>
      </c>
      <c r="N846" s="2590">
        <f>HD805</f>
        <v>0</v>
      </c>
      <c r="O846" s="2590">
        <f t="shared" si="265"/>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3377</v>
      </c>
      <c r="J847" s="2590">
        <f>HE805</f>
        <v>0</v>
      </c>
      <c r="K847" s="2590">
        <f>HF805</f>
        <v>0</v>
      </c>
      <c r="L847" s="2590">
        <f>HG805</f>
        <v>0</v>
      </c>
      <c r="M847" s="2590">
        <f>HH805</f>
        <v>0</v>
      </c>
      <c r="N847" s="2590">
        <f>HI805</f>
        <v>0</v>
      </c>
      <c r="O847" s="2590">
        <f t="shared" si="265"/>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2623</v>
      </c>
      <c r="J848" s="2590">
        <f>HJ805</f>
        <v>0</v>
      </c>
      <c r="K848" s="2590">
        <f>HK805</f>
        <v>0</v>
      </c>
      <c r="L848" s="2590">
        <f>HL805</f>
        <v>0</v>
      </c>
      <c r="M848" s="2590">
        <f>HM805</f>
        <v>0</v>
      </c>
      <c r="N848" s="2590">
        <f>HN805</f>
        <v>0</v>
      </c>
      <c r="O848" s="2590">
        <f t="shared" si="265"/>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3377</v>
      </c>
      <c r="J849" s="2590">
        <f>HO805</f>
        <v>0</v>
      </c>
      <c r="K849" s="2590">
        <f>HP805</f>
        <v>0</v>
      </c>
      <c r="L849" s="2590">
        <f>HQ805</f>
        <v>0</v>
      </c>
      <c r="M849" s="2590">
        <f>HR805</f>
        <v>0</v>
      </c>
      <c r="N849" s="2590">
        <f>HS805</f>
        <v>0</v>
      </c>
      <c r="O849" s="2590">
        <f t="shared" si="265"/>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2622</v>
      </c>
      <c r="J850" s="2590">
        <f>HT805</f>
        <v>0</v>
      </c>
      <c r="K850" s="2590">
        <f>HU805</f>
        <v>0</v>
      </c>
      <c r="L850" s="2590">
        <f>HV805</f>
        <v>0</v>
      </c>
      <c r="M850" s="2590">
        <f>HW805</f>
        <v>0</v>
      </c>
      <c r="N850" s="2590">
        <f>HX805</f>
        <v>0</v>
      </c>
      <c r="O850" s="2590">
        <f t="shared" si="265"/>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3377</v>
      </c>
      <c r="J851" s="2590">
        <f>HY805</f>
        <v>0</v>
      </c>
      <c r="K851" s="2590">
        <f>HZ805</f>
        <v>0</v>
      </c>
      <c r="L851" s="2590">
        <f>IA805</f>
        <v>0</v>
      </c>
      <c r="M851" s="2590">
        <f>IB805</f>
        <v>0</v>
      </c>
      <c r="N851" s="2590">
        <f>IC805</f>
        <v>0</v>
      </c>
      <c r="O851" s="2590">
        <f t="shared" si="265"/>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5"/>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3377</v>
      </c>
      <c r="J853" s="2590">
        <f>FG805</f>
        <v>0</v>
      </c>
      <c r="K853" s="2590">
        <f>FH805</f>
        <v>0</v>
      </c>
      <c r="L853" s="2590">
        <f>FI805</f>
        <v>0</v>
      </c>
      <c r="M853" s="2590">
        <f>FJ805</f>
        <v>0</v>
      </c>
      <c r="N853" s="2590">
        <f>FK805</f>
        <v>0</v>
      </c>
      <c r="O853" s="2590">
        <f t="shared" si="265"/>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6</v>
      </c>
      <c r="L854" s="2590">
        <f>GH805</f>
        <v>24</v>
      </c>
      <c r="M854" s="2590">
        <f>GI805</f>
        <v>20</v>
      </c>
      <c r="N854" s="2590">
        <f>GJ805</f>
        <v>0</v>
      </c>
      <c r="O854" s="2590">
        <f t="shared" si="265"/>
        <v>50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3377</v>
      </c>
      <c r="J855" s="2590">
        <f>GK805</f>
        <v>0</v>
      </c>
      <c r="K855" s="2590">
        <f>GL805</f>
        <v>0</v>
      </c>
      <c r="L855" s="2590">
        <f>GM805</f>
        <v>0</v>
      </c>
      <c r="M855" s="2590">
        <f>GN805</f>
        <v>0</v>
      </c>
      <c r="N855" s="2590">
        <f>GO805</f>
        <v>0</v>
      </c>
      <c r="O855" s="2590">
        <f t="shared" si="265"/>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5"/>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3377</v>
      </c>
      <c r="J857" s="2590">
        <f>GA805</f>
        <v>0</v>
      </c>
      <c r="K857" s="2590">
        <f>GB805</f>
        <v>0</v>
      </c>
      <c r="L857" s="2590">
        <f>GC805</f>
        <v>0</v>
      </c>
      <c r="M857" s="2590">
        <f>GD805</f>
        <v>0</v>
      </c>
      <c r="N857" s="2590">
        <f>GE805</f>
        <v>0</v>
      </c>
      <c r="O857" s="2590">
        <f t="shared" si="265"/>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5"/>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3377</v>
      </c>
      <c r="J859" s="2590">
        <f>FQ805</f>
        <v>0</v>
      </c>
      <c r="K859" s="2590">
        <f>FR805</f>
        <v>0</v>
      </c>
      <c r="L859" s="2590">
        <f>FS805</f>
        <v>0</v>
      </c>
      <c r="M859" s="2590">
        <f>FT805</f>
        <v>0</v>
      </c>
      <c r="N859" s="2590">
        <f>FU805</f>
        <v>0</v>
      </c>
      <c r="O859" s="2590">
        <f t="shared" si="265"/>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4750</v>
      </c>
      <c r="D861" s="2500"/>
      <c r="E861" s="2555" t="s">
        <v>3372</v>
      </c>
      <c r="F861" s="2356"/>
      <c r="H861" s="2597"/>
      <c r="J861" s="2590">
        <f t="shared" ref="J861:N862" si="266">J852+J856+J858</f>
        <v>0</v>
      </c>
      <c r="K861" s="2590">
        <f t="shared" si="266"/>
        <v>0</v>
      </c>
      <c r="L861" s="2590">
        <f t="shared" si="266"/>
        <v>0</v>
      </c>
      <c r="M861" s="2590">
        <f t="shared" si="266"/>
        <v>0</v>
      </c>
      <c r="N861" s="2590">
        <f t="shared" si="266"/>
        <v>0</v>
      </c>
      <c r="O861" s="2590">
        <f t="shared" ref="O861:O868" si="267">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3377</v>
      </c>
      <c r="J862" s="2590">
        <f t="shared" si="266"/>
        <v>0</v>
      </c>
      <c r="K862" s="2590">
        <f t="shared" si="266"/>
        <v>0</v>
      </c>
      <c r="L862" s="2590">
        <f t="shared" si="266"/>
        <v>0</v>
      </c>
      <c r="M862" s="2590">
        <f t="shared" si="266"/>
        <v>0</v>
      </c>
      <c r="N862" s="2590">
        <f t="shared" si="266"/>
        <v>0</v>
      </c>
      <c r="O862" s="2590">
        <f t="shared" si="267"/>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3373</v>
      </c>
      <c r="F863" s="2356"/>
      <c r="H863" s="2356"/>
      <c r="J863" s="2590">
        <f>J844+J854</f>
        <v>0</v>
      </c>
      <c r="K863" s="2590">
        <f t="shared" ref="K863:N864" si="268">K844+K854</f>
        <v>6</v>
      </c>
      <c r="L863" s="2590">
        <f t="shared" si="268"/>
        <v>24</v>
      </c>
      <c r="M863" s="2590">
        <f t="shared" si="268"/>
        <v>20</v>
      </c>
      <c r="N863" s="2590">
        <f t="shared" si="268"/>
        <v>0</v>
      </c>
      <c r="O863" s="2590">
        <f t="shared" si="267"/>
        <v>50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3377</v>
      </c>
      <c r="J864" s="2590">
        <f>J845+J855</f>
        <v>0</v>
      </c>
      <c r="K864" s="2590">
        <f t="shared" si="268"/>
        <v>0</v>
      </c>
      <c r="L864" s="2590">
        <f t="shared" si="268"/>
        <v>0</v>
      </c>
      <c r="M864" s="2590">
        <f t="shared" si="268"/>
        <v>0</v>
      </c>
      <c r="N864" s="2590">
        <f t="shared" si="268"/>
        <v>0</v>
      </c>
      <c r="O864" s="2590">
        <f t="shared" si="267"/>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3374</v>
      </c>
      <c r="F865" s="2356"/>
      <c r="H865" s="2597"/>
      <c r="J865" s="2590">
        <f>J848</f>
        <v>0</v>
      </c>
      <c r="K865" s="2590">
        <f t="shared" ref="K865:N866" si="269">K848</f>
        <v>0</v>
      </c>
      <c r="L865" s="2590">
        <f t="shared" si="269"/>
        <v>0</v>
      </c>
      <c r="M865" s="2590">
        <f t="shared" si="269"/>
        <v>0</v>
      </c>
      <c r="N865" s="2590">
        <f t="shared" si="269"/>
        <v>0</v>
      </c>
      <c r="O865" s="2590">
        <f t="shared" si="267"/>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3377</v>
      </c>
      <c r="J866" s="2590">
        <f>J849</f>
        <v>0</v>
      </c>
      <c r="K866" s="2590">
        <f t="shared" si="269"/>
        <v>0</v>
      </c>
      <c r="L866" s="2590">
        <f t="shared" si="269"/>
        <v>0</v>
      </c>
      <c r="M866" s="2590">
        <f t="shared" si="269"/>
        <v>0</v>
      </c>
      <c r="N866" s="2590">
        <f t="shared" si="269"/>
        <v>0</v>
      </c>
      <c r="O866" s="2590">
        <f t="shared" si="267"/>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3375</v>
      </c>
      <c r="F867" s="2356"/>
      <c r="H867" s="2597"/>
      <c r="J867" s="2590">
        <f>J846+J850</f>
        <v>0</v>
      </c>
      <c r="K867" s="2590">
        <f t="shared" ref="K867:N868" si="270">K846+K850</f>
        <v>0</v>
      </c>
      <c r="L867" s="2590">
        <f t="shared" si="270"/>
        <v>0</v>
      </c>
      <c r="M867" s="2590">
        <f t="shared" si="270"/>
        <v>0</v>
      </c>
      <c r="N867" s="2590">
        <f t="shared" si="270"/>
        <v>0</v>
      </c>
      <c r="O867" s="2590">
        <f t="shared" si="267"/>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3377</v>
      </c>
      <c r="J868" s="2590">
        <f>J847+J851</f>
        <v>0</v>
      </c>
      <c r="K868" s="2590">
        <f t="shared" si="270"/>
        <v>0</v>
      </c>
      <c r="L868" s="2590">
        <f t="shared" si="270"/>
        <v>0</v>
      </c>
      <c r="M868" s="2590">
        <f t="shared" si="270"/>
        <v>0</v>
      </c>
      <c r="N868" s="2590">
        <f t="shared" si="270"/>
        <v>0</v>
      </c>
      <c r="O868" s="2590">
        <f t="shared" si="267"/>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2180</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2151</v>
      </c>
      <c r="D870" s="2354"/>
      <c r="E870" s="2354"/>
      <c r="F870" s="2354"/>
      <c r="H870" s="2597" t="s">
        <v>1159</v>
      </c>
      <c r="J870" s="2603">
        <f>BZ805</f>
        <v>0</v>
      </c>
      <c r="K870" s="2603">
        <f>CA805</f>
        <v>3000</v>
      </c>
      <c r="L870" s="2603">
        <f>CB805</f>
        <v>21000</v>
      </c>
      <c r="M870" s="2603">
        <f>CC805</f>
        <v>20000</v>
      </c>
      <c r="N870" s="2603">
        <f>CD805</f>
        <v>0</v>
      </c>
      <c r="O870" s="2603">
        <f t="shared" ref="O870:O876" si="271">SUM(J870:N870)</f>
        <v>44000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1500</v>
      </c>
      <c r="L871" s="2603">
        <f>CG805</f>
        <v>4200</v>
      </c>
      <c r="M871" s="2603">
        <f>CH805</f>
        <v>5000</v>
      </c>
      <c r="N871" s="2603">
        <f>CI805</f>
        <v>0</v>
      </c>
      <c r="O871" s="2603">
        <f t="shared" si="271"/>
        <v>10700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4500</v>
      </c>
      <c r="L872" s="2603">
        <f>SUM(L870:L871)</f>
        <v>25200</v>
      </c>
      <c r="M872" s="2603">
        <f>SUM(M870:M871)</f>
        <v>25000</v>
      </c>
      <c r="N872" s="2603">
        <f>SUM(N870:N871)</f>
        <v>0</v>
      </c>
      <c r="O872" s="2603">
        <f t="shared" si="271"/>
        <v>54700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1"/>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4500</v>
      </c>
      <c r="L874" s="2603">
        <f>SUM(L872:L873)</f>
        <v>25200</v>
      </c>
      <c r="M874" s="2603">
        <f>SUM(M872:M873)</f>
        <v>25000</v>
      </c>
      <c r="N874" s="2603">
        <f>SUM(N872:N873)</f>
        <v>0</v>
      </c>
      <c r="O874" s="2603">
        <f t="shared" si="271"/>
        <v>54700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2527</v>
      </c>
      <c r="D875" s="2354"/>
      <c r="E875" s="2354"/>
      <c r="F875" s="2354"/>
      <c r="G875" s="2354"/>
      <c r="J875" s="2603">
        <f>CY805</f>
        <v>0</v>
      </c>
      <c r="K875" s="2603">
        <f>CZ805</f>
        <v>0</v>
      </c>
      <c r="L875" s="2603">
        <f>DA805</f>
        <v>0</v>
      </c>
      <c r="M875" s="2603">
        <f>DB805</f>
        <v>0</v>
      </c>
      <c r="N875" s="2603">
        <f>DC805</f>
        <v>0</v>
      </c>
      <c r="O875" s="2603">
        <f t="shared" si="271"/>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4500</v>
      </c>
      <c r="L876" s="2603">
        <f>SUM(L874:L875)</f>
        <v>25200</v>
      </c>
      <c r="M876" s="2603">
        <f>SUM(M874:M875)</f>
        <v>25000</v>
      </c>
      <c r="N876" s="2603">
        <f>SUM(N874:N875)</f>
        <v>0</v>
      </c>
      <c r="O876" s="2603">
        <f t="shared" si="271"/>
        <v>54700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4751</v>
      </c>
      <c r="R877" s="2546" t="s">
        <v>1858</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5990.88</v>
      </c>
      <c r="I879" s="2605">
        <f>'Part VI-Revenues &amp; Expenses'!I122</f>
        <v>0</v>
      </c>
      <c r="J879" s="1330"/>
      <c r="K879" s="2606" t="s">
        <v>4752</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2301</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2">SUM(G883:G884)</f>
        <v>0</v>
      </c>
      <c r="H885" s="2615">
        <f t="shared" si="272"/>
        <v>0</v>
      </c>
      <c r="I885" s="2615">
        <f t="shared" si="272"/>
        <v>0</v>
      </c>
      <c r="J885" s="2615">
        <f t="shared" si="272"/>
        <v>0</v>
      </c>
      <c r="K885" s="2615">
        <f t="shared" si="272"/>
        <v>0</v>
      </c>
      <c r="L885" s="2615">
        <f t="shared" si="272"/>
        <v>0</v>
      </c>
      <c r="M885" s="2615">
        <f t="shared" si="272"/>
        <v>0</v>
      </c>
      <c r="N885" s="2615">
        <f t="shared" si="272"/>
        <v>0</v>
      </c>
      <c r="O885" s="2615">
        <f t="shared" si="272"/>
        <v>0</v>
      </c>
      <c r="P885" s="2615">
        <f t="shared" si="272"/>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4753</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4754</v>
      </c>
      <c r="D889" s="2555"/>
      <c r="E889" s="2555"/>
      <c r="F889" s="2555"/>
      <c r="G889" s="2615">
        <f t="shared" ref="G889:P889" si="273">SUM(G887:G888)</f>
        <v>0</v>
      </c>
      <c r="H889" s="2615">
        <f t="shared" si="273"/>
        <v>0</v>
      </c>
      <c r="I889" s="2615">
        <f t="shared" si="273"/>
        <v>0</v>
      </c>
      <c r="J889" s="2615">
        <f t="shared" si="273"/>
        <v>0</v>
      </c>
      <c r="K889" s="2615">
        <f t="shared" si="273"/>
        <v>0</v>
      </c>
      <c r="L889" s="2615">
        <f t="shared" si="273"/>
        <v>0</v>
      </c>
      <c r="M889" s="2615">
        <f t="shared" si="273"/>
        <v>0</v>
      </c>
      <c r="N889" s="2615">
        <f t="shared" si="273"/>
        <v>0</v>
      </c>
      <c r="O889" s="2615">
        <f t="shared" si="273"/>
        <v>0</v>
      </c>
      <c r="P889" s="2615">
        <f t="shared" si="273"/>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2301</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2638</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4">SUM(G892:G893)</f>
        <v>0</v>
      </c>
      <c r="H894" s="2615">
        <f t="shared" si="274"/>
        <v>0</v>
      </c>
      <c r="I894" s="2615">
        <f t="shared" si="274"/>
        <v>0</v>
      </c>
      <c r="J894" s="2615">
        <f t="shared" si="274"/>
        <v>0</v>
      </c>
      <c r="K894" s="2615">
        <f t="shared" si="274"/>
        <v>0</v>
      </c>
      <c r="L894" s="2615">
        <f t="shared" si="274"/>
        <v>0</v>
      </c>
      <c r="M894" s="2615">
        <f t="shared" si="274"/>
        <v>0</v>
      </c>
      <c r="N894" s="2615">
        <f t="shared" si="274"/>
        <v>0</v>
      </c>
      <c r="O894" s="2615">
        <f t="shared" si="274"/>
        <v>0</v>
      </c>
      <c r="P894" s="2615">
        <f t="shared" si="274"/>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4753</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4754</v>
      </c>
      <c r="D898" s="2555"/>
      <c r="E898" s="2555"/>
      <c r="F898" s="2555"/>
      <c r="G898" s="2615">
        <f t="shared" ref="G898:P898" si="275">SUM(G896:G897)</f>
        <v>0</v>
      </c>
      <c r="H898" s="2615">
        <f t="shared" si="275"/>
        <v>0</v>
      </c>
      <c r="I898" s="2615">
        <f t="shared" si="275"/>
        <v>0</v>
      </c>
      <c r="J898" s="2615">
        <f t="shared" si="275"/>
        <v>0</v>
      </c>
      <c r="K898" s="2615">
        <f t="shared" si="275"/>
        <v>0</v>
      </c>
      <c r="L898" s="2615">
        <f t="shared" si="275"/>
        <v>0</v>
      </c>
      <c r="M898" s="2615">
        <f t="shared" si="275"/>
        <v>0</v>
      </c>
      <c r="N898" s="2615">
        <f t="shared" si="275"/>
        <v>0</v>
      </c>
      <c r="O898" s="2615">
        <f t="shared" si="275"/>
        <v>0</v>
      </c>
      <c r="P898" s="2615">
        <f t="shared" si="275"/>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2301</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2639</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6">SUM(G901:G902)</f>
        <v>0</v>
      </c>
      <c r="H903" s="2615">
        <f t="shared" si="276"/>
        <v>0</v>
      </c>
      <c r="I903" s="2615">
        <f t="shared" si="276"/>
        <v>0</v>
      </c>
      <c r="J903" s="2615">
        <f t="shared" si="276"/>
        <v>0</v>
      </c>
      <c r="K903" s="2615">
        <f t="shared" si="276"/>
        <v>0</v>
      </c>
      <c r="L903" s="2615">
        <f t="shared" si="276"/>
        <v>0</v>
      </c>
      <c r="M903" s="2615">
        <f t="shared" si="276"/>
        <v>0</v>
      </c>
      <c r="N903" s="2615">
        <f t="shared" si="276"/>
        <v>0</v>
      </c>
      <c r="O903" s="2615">
        <f t="shared" si="276"/>
        <v>0</v>
      </c>
      <c r="P903" s="2615">
        <f t="shared" si="276"/>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4753</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4754</v>
      </c>
      <c r="D907" s="2555"/>
      <c r="E907" s="2555"/>
      <c r="F907" s="2555"/>
      <c r="G907" s="2615">
        <f t="shared" ref="G907:P907" si="277">SUM(G905:G906)</f>
        <v>0</v>
      </c>
      <c r="H907" s="2615">
        <f t="shared" si="277"/>
        <v>0</v>
      </c>
      <c r="I907" s="2615">
        <f t="shared" si="277"/>
        <v>0</v>
      </c>
      <c r="J907" s="2615">
        <f t="shared" si="277"/>
        <v>0</v>
      </c>
      <c r="K907" s="2615">
        <f t="shared" si="277"/>
        <v>0</v>
      </c>
      <c r="L907" s="2615">
        <f t="shared" si="277"/>
        <v>0</v>
      </c>
      <c r="M907" s="2615">
        <f t="shared" si="277"/>
        <v>0</v>
      </c>
      <c r="N907" s="2615">
        <f t="shared" si="277"/>
        <v>0</v>
      </c>
      <c r="O907" s="2615">
        <f t="shared" si="277"/>
        <v>0</v>
      </c>
      <c r="P907" s="2615">
        <f t="shared" si="277"/>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2301</v>
      </c>
      <c r="C909" s="1330"/>
      <c r="D909" s="1330"/>
      <c r="E909" s="1330"/>
      <c r="F909" s="1330"/>
      <c r="G909" s="2611">
        <v>31</v>
      </c>
      <c r="H909" s="2611">
        <v>32</v>
      </c>
      <c r="I909" s="2611">
        <v>33</v>
      </c>
      <c r="J909" s="2611">
        <v>34</v>
      </c>
      <c r="K909" s="2611">
        <v>35</v>
      </c>
      <c r="L909" s="1330"/>
      <c r="M909" s="1330"/>
      <c r="N909" s="1330"/>
      <c r="O909" s="1330"/>
      <c r="P909" s="1330"/>
      <c r="R909" s="2580" t="s">
        <v>2639</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4753</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4754</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1858</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2211</v>
      </c>
      <c r="F921" s="2603">
        <f>'Part VI-Revenues &amp; Expenses'!F164</f>
        <v>44804</v>
      </c>
      <c r="G921" s="2603">
        <f>'Part VI-Revenues &amp; Expenses'!G164</f>
        <v>0</v>
      </c>
      <c r="I921" s="2354" t="s">
        <v>1390</v>
      </c>
      <c r="K921" s="2603">
        <f>'Part VI-Revenues &amp; Expenses'!K164</f>
        <v>0</v>
      </c>
      <c r="L921" s="2603">
        <f>'Part VI-Revenues &amp; Expenses'!L164</f>
        <v>0</v>
      </c>
      <c r="N921" s="2354" t="s">
        <v>938</v>
      </c>
      <c r="P921" s="2614">
        <f>'Part VI-Revenues &amp; Expenses'!P164</f>
        <v>25000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21076</v>
      </c>
      <c r="G922" s="2603">
        <f>'Part VI-Revenues &amp; Expenses'!G165</f>
        <v>0</v>
      </c>
      <c r="I922" s="2354" t="s">
        <v>1391</v>
      </c>
      <c r="K922" s="2603">
        <f>'Part VI-Revenues &amp; Expenses'!K165</f>
        <v>600</v>
      </c>
      <c r="L922" s="2603">
        <f>'Part VI-Revenues &amp; Expenses'!L165</f>
        <v>0</v>
      </c>
      <c r="N922" s="2354" t="s">
        <v>148</v>
      </c>
      <c r="P922" s="2614">
        <f>'Part VI-Revenues &amp; Expenses'!P165</f>
        <v>16070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600</v>
      </c>
      <c r="L923" s="2603"/>
      <c r="N923" s="2621" t="str">
        <f>'Part VI-Revenues &amp; Expenses'!N166</f>
        <v>Personal Property Taxes</v>
      </c>
      <c r="O923" s="2621">
        <f>'Part VI-Revenues &amp; Expenses'!O166</f>
        <v>0</v>
      </c>
      <c r="P923" s="2614">
        <f>'Part VI-Revenues &amp; Expenses'!P166</f>
        <v>1500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Education Outcomes Budget</v>
      </c>
      <c r="C924" s="478">
        <f>'Part VI-Revenues &amp; Expenses'!C167</f>
        <v>0</v>
      </c>
      <c r="D924" s="478">
        <f>'Part VI-Revenues &amp; Expenses'!D167</f>
        <v>0</v>
      </c>
      <c r="E924" s="478">
        <f>'Part VI-Revenues &amp; Expenses'!E167</f>
        <v>0</v>
      </c>
      <c r="F924" s="2603">
        <f>'Part VI-Revenues &amp; Expenses'!F167</f>
        <v>10000</v>
      </c>
      <c r="G924" s="2603">
        <f>'Part VI-Revenues &amp; Expenses'!G167</f>
        <v>0</v>
      </c>
      <c r="N924" s="2620" t="s">
        <v>193</v>
      </c>
      <c r="P924" s="2614">
        <f>SUM(P921:P923)</f>
        <v>42570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75880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24000</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1750</v>
      </c>
      <c r="G928" s="2603">
        <f>'Part VI-Revenues &amp; Expenses'!G171</f>
        <v>0</v>
      </c>
      <c r="I928" s="2354" t="s">
        <v>1614</v>
      </c>
      <c r="K928" s="2614">
        <f>'Part VI-Revenues &amp; Expenses'!K171</f>
        <v>1000</v>
      </c>
      <c r="L928" s="2614">
        <f>'Part VI-Revenues &amp; Expenses'!L171</f>
        <v>0</v>
      </c>
      <c r="N928" s="2624">
        <f>+P927/(O819*0.93)</f>
        <v>516.12903225806451</v>
      </c>
      <c r="O928" s="2625" t="s">
        <v>2773</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4500</v>
      </c>
      <c r="G929" s="2603">
        <f>'Part VI-Revenues &amp; Expenses'!G172</f>
        <v>0</v>
      </c>
      <c r="I929" s="2354" t="s">
        <v>2064</v>
      </c>
      <c r="K929" s="2614">
        <f>'Part VI-Revenues &amp; Expenses'!K172</f>
        <v>7000</v>
      </c>
      <c r="L929" s="2614">
        <f>'Part VI-Revenues &amp; Expenses'!L172</f>
        <v>0</v>
      </c>
      <c r="N929" s="2624">
        <f>+P927/(O819*0.93)/12</f>
        <v>43.01075268817204</v>
      </c>
      <c r="O929" s="2625" t="s">
        <v>2774</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0</v>
      </c>
      <c r="G930" s="2603">
        <f>'Part VI-Revenues &amp; Expenses'!G173</f>
        <v>0</v>
      </c>
      <c r="I930" s="2354" t="s">
        <v>1615</v>
      </c>
      <c r="K930" s="2614">
        <f>'Part VI-Revenues &amp; Expenses'!K173</f>
        <v>1000</v>
      </c>
      <c r="L930" s="2614">
        <f>'Part VI-Revenues &amp; Expenses'!L173</f>
        <v>0</v>
      </c>
      <c r="N930" s="478" t="s">
        <v>3756</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2356</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0</v>
      </c>
      <c r="G932" s="2603">
        <f>'Part VI-Revenues &amp; Expenses'!G175</f>
        <v>0</v>
      </c>
      <c r="I932" s="2543"/>
      <c r="J932" s="2620" t="s">
        <v>193</v>
      </c>
      <c r="K932" s="2614">
        <f>SUM(K928:K931)</f>
        <v>9000</v>
      </c>
      <c r="L932" s="2614"/>
      <c r="M932" s="2627" t="str">
        <f>IF(P934="","",IF(P932&lt;P934, "WARNING! OE below required minimum.",""))</f>
        <v/>
      </c>
      <c r="N932" s="2543" t="s">
        <v>2201</v>
      </c>
      <c r="P932" s="2614">
        <f>F925+F934+F945+K923+K932+K942+P924+P927</f>
        <v>212250</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Misc. Administrative Expenses</v>
      </c>
      <c r="C933" s="478">
        <f>'Part VI-Revenues &amp; Expenses'!C176</f>
        <v>0</v>
      </c>
      <c r="D933" s="478">
        <f>'Part VI-Revenues &amp; Expenses'!D176</f>
        <v>0</v>
      </c>
      <c r="E933" s="478">
        <f>'Part VI-Revenues &amp; Expenses'!E176</f>
        <v>0</v>
      </c>
      <c r="F933" s="2603">
        <f>'Part VI-Revenues &amp; Expenses'!F176</f>
        <v>7000</v>
      </c>
      <c r="G933" s="2603">
        <f>'Part VI-Revenues &amp; Expenses'!G176</f>
        <v>0</v>
      </c>
      <c r="J933" s="2590"/>
      <c r="M933" s="2627"/>
      <c r="N933" s="2625" t="s">
        <v>2775</v>
      </c>
      <c r="O933" s="2624">
        <f>+P932/O819</f>
        <v>4245</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13250</v>
      </c>
      <c r="G934" s="2603"/>
      <c r="J934" s="2590"/>
      <c r="M934" s="2627"/>
      <c r="O934" s="2625" t="s">
        <v>3757</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2772</v>
      </c>
      <c r="N936" s="2543" t="s">
        <v>3503</v>
      </c>
      <c r="O936" s="2543"/>
      <c r="P936" s="2628">
        <f>'Part VI-Revenues &amp; Expenses'!P179</f>
        <v>12500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0</v>
      </c>
      <c r="G937" s="2603">
        <f>'Part VI-Revenues &amp; Expenses'!G180</f>
        <v>0</v>
      </c>
      <c r="I937" s="2354" t="s">
        <v>1380</v>
      </c>
      <c r="J937" s="2416">
        <f>K937/12/O819</f>
        <v>12</v>
      </c>
      <c r="K937" s="2614">
        <f>'Part VI-Revenues &amp; Expenses'!K180</f>
        <v>7200</v>
      </c>
      <c r="L937" s="2614">
        <f>'Part VI-Revenues &amp; Expenses'!L180</f>
        <v>0</v>
      </c>
      <c r="M937" s="2627" t="str">
        <f>IF(P936&lt;P945, "WARNING! RR proposed is below the DCA required minimum.","")</f>
        <v/>
      </c>
      <c r="N937" s="478" t="s">
        <v>3765</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4500</v>
      </c>
      <c r="G938" s="2603">
        <f>'Part VI-Revenues &amp; Expenses'!G181</f>
        <v>0</v>
      </c>
      <c r="I938" s="2354" t="s">
        <v>1381</v>
      </c>
      <c r="J938" s="2416">
        <f>K938/12/O819</f>
        <v>0</v>
      </c>
      <c r="K938" s="2614">
        <f>'Part VI-Revenues &amp; Expenses'!K181</f>
        <v>0</v>
      </c>
      <c r="L938" s="2614">
        <f>'Part VI-Revenues &amp; Expenses'!L181</f>
        <v>0</v>
      </c>
      <c r="M938" s="2627"/>
      <c r="N938" s="2630" t="s">
        <v>3764</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15000</v>
      </c>
      <c r="G939" s="2603">
        <f>'Part VI-Revenues &amp; Expenses'!G182</f>
        <v>0</v>
      </c>
      <c r="I939" s="2354" t="s">
        <v>2367</v>
      </c>
      <c r="J939" s="2416">
        <f>K939/12/O819</f>
        <v>13.166666666666668</v>
      </c>
      <c r="K939" s="2614">
        <f>'Part VI-Revenues &amp; Expenses'!K182</f>
        <v>7900</v>
      </c>
      <c r="L939" s="2614">
        <f>'Part VI-Revenues &amp; Expenses'!L182</f>
        <v>0</v>
      </c>
      <c r="M939" s="2627"/>
      <c r="N939" s="2631" t="s">
        <v>2731</v>
      </c>
      <c r="O939" s="2632" t="s">
        <v>3878</v>
      </c>
      <c r="P939" s="2632" t="s">
        <v>3458</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5500</v>
      </c>
      <c r="G940" s="2603">
        <f>'Part VI-Revenues &amp; Expenses'!G183</f>
        <v>0</v>
      </c>
      <c r="I940" s="2354" t="s">
        <v>1383</v>
      </c>
      <c r="K940" s="2614">
        <f>'Part VI-Revenues &amp; Expenses'!K183</f>
        <v>3900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1250</v>
      </c>
      <c r="G941" s="2603">
        <f>'Part VI-Revenues &amp; Expenses'!G184</f>
        <v>0</v>
      </c>
      <c r="I941" s="2621" t="str">
        <f>'Part VI-Revenues &amp; Expenses'!I184</f>
        <v>Cable TV / Internet</v>
      </c>
      <c r="J941" s="2621">
        <f>'Part VI-Revenues &amp; Expenses'!J184</f>
        <v>0</v>
      </c>
      <c r="K941" s="2614">
        <f>'Part VI-Revenues &amp; Expenses'!K184</f>
        <v>1200</v>
      </c>
      <c r="L941" s="2614">
        <f>'Part VI-Revenues &amp; Expenses'!L184</f>
        <v>0</v>
      </c>
      <c r="M941" s="2627"/>
      <c r="N941" s="2356" t="s">
        <v>3450</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20200</v>
      </c>
      <c r="L942" s="2614"/>
      <c r="M942" s="2627"/>
      <c r="N942" s="2356" t="s">
        <v>3449</v>
      </c>
      <c r="O942" s="2634" t="str">
        <f>CONCATENATE(SUM(JH805:JL805)," units x $",'DCA Underwriting Assumptions'!$Q$66," =")</f>
        <v>50 units x $250 =</v>
      </c>
      <c r="P942" s="2634">
        <f>SUM(JH805:JL805)*'DCA Underwriting Assumptions'!$Q$66</f>
        <v>12500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500</v>
      </c>
      <c r="G943" s="2603">
        <f>'Part VI-Revenues &amp; Expenses'!G186</f>
        <v>0</v>
      </c>
      <c r="J943" s="2590"/>
      <c r="M943" s="2627"/>
      <c r="N943" s="2473" t="s">
        <v>3453</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3448</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26750</v>
      </c>
      <c r="G945" s="2603"/>
      <c r="J945" s="2590"/>
      <c r="N945" s="2583" t="s">
        <v>2734</v>
      </c>
      <c r="O945" s="2577">
        <f>SUM(JC805:JG805)+SUM(JH805:JL805)+SUM(JM805:JQ805)+O841</f>
        <v>50</v>
      </c>
      <c r="P945" s="2635">
        <f>SUM(P941:P944)</f>
        <v>12500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2202</v>
      </c>
      <c r="P947" s="2614">
        <f>P932+P936</f>
        <v>224750</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4154</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Please see Tab 1 of the Application for the documentation supporting the Real Estate Taxes and Insurance budgets.</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4153</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2018-030 Sparrow Pointe at Forest Hill,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4755</v>
      </c>
    </row>
    <row r="961" spans="1:19" ht="12.75" customHeight="1">
      <c r="A961" s="683" t="s">
        <v>2203</v>
      </c>
      <c r="B961" s="2636">
        <v>0.02</v>
      </c>
      <c r="D961" s="2500" t="s">
        <v>4756</v>
      </c>
      <c r="E961" s="2500"/>
      <c r="F961" s="2500"/>
      <c r="G961" s="2637">
        <f>'Part VII-Pro Forma'!G5</f>
        <v>5000</v>
      </c>
      <c r="H961" s="2599" t="s">
        <v>1921</v>
      </c>
      <c r="K961" s="2638" t="e">
        <f>IF(($B$14+$B$15+$B$16+$B$17)=0,"",B984/($B$14+$B$15+$B$16+$B$17))</f>
        <v>#VALUE!</v>
      </c>
    </row>
    <row r="962" spans="1:19">
      <c r="A962" s="683" t="s">
        <v>2204</v>
      </c>
      <c r="B962" s="2636">
        <v>0.03</v>
      </c>
      <c r="D962" s="2500"/>
      <c r="E962" s="2500"/>
      <c r="F962" s="2500"/>
      <c r="G962" s="2639">
        <f>IF(OR('Part III-Sources of Funds'!B967="Yes",'Part III-Sources of Funds'!E967&gt;0),'DCA Underwriting Assumptions'!$Q$95,0)</f>
        <v>0</v>
      </c>
    </row>
    <row r="963" spans="1:19">
      <c r="A963" s="683" t="s">
        <v>2206</v>
      </c>
      <c r="B963" s="2636">
        <v>0.03</v>
      </c>
      <c r="D963" s="2354" t="s">
        <v>272</v>
      </c>
      <c r="G963" s="2640"/>
      <c r="H963" s="2599" t="s">
        <v>2389</v>
      </c>
      <c r="K963" s="2638" t="e">
        <f>IF(($B$14+$B$15+$B$16+$B$17)=0,"",-B976/($B$14+$B$15+$B$16+$B$17))</f>
        <v>#VALUE!</v>
      </c>
    </row>
    <row r="964" spans="1:19">
      <c r="A964" s="683" t="s">
        <v>2205</v>
      </c>
      <c r="B964" s="2636">
        <f>'Part VII-Pro Forma'!B8</f>
        <v>7.0000000000000007E-2</v>
      </c>
      <c r="D964" s="2354" t="s">
        <v>2524</v>
      </c>
      <c r="G964" s="2641" t="str">
        <f>'Part VII-Pro Forma'!G8</f>
        <v>Yes</v>
      </c>
      <c r="H964" s="2642" t="s">
        <v>1456</v>
      </c>
      <c r="K964" s="2643">
        <f>'Part VII-Pro Forma'!K8</f>
        <v>24000</v>
      </c>
    </row>
    <row r="965" spans="1:19">
      <c r="A965" s="683" t="s">
        <v>1430</v>
      </c>
      <c r="B965" s="2636">
        <v>0.02</v>
      </c>
      <c r="D965" s="2354" t="s">
        <v>1731</v>
      </c>
      <c r="G965" s="2641">
        <f>'Part VII-Pro Forma'!G9</f>
        <v>0</v>
      </c>
      <c r="H965" s="2642" t="s">
        <v>2371</v>
      </c>
      <c r="K965" s="2644">
        <f>'Part VII-Pro Forma'!K9</f>
        <v>0</v>
      </c>
    </row>
    <row r="967" spans="1:19">
      <c r="A967" s="2546" t="s">
        <v>92</v>
      </c>
      <c r="D967" s="2544"/>
    </row>
    <row r="969" spans="1:19">
      <c r="A969" s="2546" t="s">
        <v>2495</v>
      </c>
      <c r="B969" s="2546">
        <v>1</v>
      </c>
      <c r="C969" s="2546">
        <f t="shared" ref="C969:K969" si="278">B969+1</f>
        <v>2</v>
      </c>
      <c r="D969" s="2546">
        <f t="shared" si="278"/>
        <v>3</v>
      </c>
      <c r="E969" s="2546">
        <f t="shared" si="278"/>
        <v>4</v>
      </c>
      <c r="F969" s="2546">
        <f t="shared" si="278"/>
        <v>5</v>
      </c>
      <c r="G969" s="2546">
        <f t="shared" si="278"/>
        <v>6</v>
      </c>
      <c r="H969" s="2546">
        <f t="shared" si="278"/>
        <v>7</v>
      </c>
      <c r="I969" s="2546">
        <f t="shared" si="278"/>
        <v>8</v>
      </c>
      <c r="J969" s="2546">
        <f t="shared" si="278"/>
        <v>9</v>
      </c>
      <c r="K969" s="2546">
        <f t="shared" si="278"/>
        <v>10</v>
      </c>
    </row>
    <row r="970" spans="1:19">
      <c r="A970" s="683" t="s">
        <v>2419</v>
      </c>
      <c r="B970" s="2645">
        <f>'Part VI-Revenues &amp; Expenses'!$L$49</f>
        <v>299544</v>
      </c>
      <c r="C970" s="2645">
        <f t="shared" ref="C970:K970" si="279">$B$14*(1+$B$5)^(C969-1)</f>
        <v>0</v>
      </c>
      <c r="D970" s="2645">
        <f t="shared" si="279"/>
        <v>0</v>
      </c>
      <c r="E970" s="2645">
        <f t="shared" si="279"/>
        <v>0</v>
      </c>
      <c r="F970" s="2645">
        <f t="shared" si="279"/>
        <v>0</v>
      </c>
      <c r="G970" s="2645">
        <f t="shared" si="279"/>
        <v>0</v>
      </c>
      <c r="H970" s="2645">
        <f t="shared" si="279"/>
        <v>0</v>
      </c>
      <c r="I970" s="2645">
        <f t="shared" si="279"/>
        <v>0</v>
      </c>
      <c r="J970" s="2645">
        <f t="shared" si="279"/>
        <v>0</v>
      </c>
      <c r="K970" s="2645">
        <f t="shared" si="279"/>
        <v>0</v>
      </c>
      <c r="S970" s="683" t="s">
        <v>4239</v>
      </c>
    </row>
    <row r="971" spans="1:19">
      <c r="A971" s="683" t="s">
        <v>1026</v>
      </c>
      <c r="B971" s="2645">
        <f>MIN(B970*B965,'Part VI-Revenues &amp; Expenses'!$H$122)</f>
        <v>5990.88</v>
      </c>
      <c r="C971" s="2645">
        <f t="shared" ref="C971:K971" si="280">$B$15*(1+$B$5)^(C969-1)</f>
        <v>0</v>
      </c>
      <c r="D971" s="2645">
        <f t="shared" si="280"/>
        <v>0</v>
      </c>
      <c r="E971" s="2645">
        <f t="shared" si="280"/>
        <v>0</v>
      </c>
      <c r="F971" s="2645">
        <f t="shared" si="280"/>
        <v>0</v>
      </c>
      <c r="G971" s="2645">
        <f t="shared" si="280"/>
        <v>0</v>
      </c>
      <c r="H971" s="2645">
        <f t="shared" si="280"/>
        <v>0</v>
      </c>
      <c r="I971" s="2645">
        <f t="shared" si="280"/>
        <v>0</v>
      </c>
      <c r="J971" s="2645">
        <f t="shared" si="280"/>
        <v>0</v>
      </c>
      <c r="K971" s="2645">
        <f t="shared" si="280"/>
        <v>0</v>
      </c>
    </row>
    <row r="972" spans="1:19">
      <c r="A972" s="683" t="s">
        <v>2420</v>
      </c>
      <c r="B972" s="2645">
        <f t="shared" ref="B972:K972" si="281">-(B970+B971)*$B$8</f>
        <v>0</v>
      </c>
      <c r="C972" s="2645">
        <f t="shared" si="281"/>
        <v>0</v>
      </c>
      <c r="D972" s="2645">
        <f t="shared" si="281"/>
        <v>0</v>
      </c>
      <c r="E972" s="2645">
        <f t="shared" si="281"/>
        <v>0</v>
      </c>
      <c r="F972" s="2645">
        <f t="shared" si="281"/>
        <v>0</v>
      </c>
      <c r="G972" s="2645">
        <f t="shared" si="281"/>
        <v>0</v>
      </c>
      <c r="H972" s="2645">
        <f t="shared" si="281"/>
        <v>0</v>
      </c>
      <c r="I972" s="2645">
        <f t="shared" si="281"/>
        <v>0</v>
      </c>
      <c r="J972" s="2645">
        <f t="shared" si="281"/>
        <v>0</v>
      </c>
      <c r="K972" s="2645">
        <f t="shared" si="281"/>
        <v>0</v>
      </c>
      <c r="Q972" s="683" t="s">
        <v>3913</v>
      </c>
      <c r="R972" s="683" t="s">
        <v>4238</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-188250</v>
      </c>
      <c r="C975" s="2645">
        <f t="shared" ref="C975:K975" si="282">$B$19*(1+$B$6)^(C969-1)</f>
        <v>0</v>
      </c>
      <c r="D975" s="2645">
        <f t="shared" si="282"/>
        <v>0</v>
      </c>
      <c r="E975" s="2645">
        <f t="shared" si="282"/>
        <v>0</v>
      </c>
      <c r="F975" s="2645">
        <f t="shared" si="282"/>
        <v>0</v>
      </c>
      <c r="G975" s="2645">
        <f t="shared" si="282"/>
        <v>0</v>
      </c>
      <c r="H975" s="2645">
        <f t="shared" si="282"/>
        <v>0</v>
      </c>
      <c r="I975" s="2645">
        <f t="shared" si="282"/>
        <v>0</v>
      </c>
      <c r="J975" s="2645">
        <f t="shared" si="282"/>
        <v>0</v>
      </c>
      <c r="K975" s="2645">
        <f t="shared" si="282"/>
        <v>0</v>
      </c>
      <c r="Q975" s="683">
        <v>1</v>
      </c>
      <c r="R975" s="683">
        <v>20996</v>
      </c>
      <c r="S975" s="683">
        <v>54397.438399999985</v>
      </c>
    </row>
    <row r="976" spans="1:19">
      <c r="A976" s="683" t="s">
        <v>1125</v>
      </c>
      <c r="B976" s="2645">
        <f>IF(AND('Part VII-Pro Forma'!$G$8="Yes",'Part VII-Pro Forma'!$G$9="Yes"),"Choose One!",IF('Part VII-Pro Forma'!$G$8="Yes",ROUND((-$K$8*(1+'Part VII-Pro Forma'!$B$6)^('Part VII-Pro Forma'!B969-1)),),IF('Part VII-Pro Forma'!$G$9="Yes",ROUND((-(SUM(B970:B973)*'Part VII-Pro Forma'!$K$9)),),"Choose mgt fee")))</f>
        <v>0</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20996</v>
      </c>
      <c r="S976" s="683">
        <v>107735.32556799997</v>
      </c>
    </row>
    <row r="977" spans="1:19">
      <c r="A977" s="683" t="s">
        <v>1214</v>
      </c>
      <c r="B977" s="2645">
        <f>-('Part VI-Revenues &amp; Expenses'!$P$179)</f>
        <v>-12500</v>
      </c>
      <c r="C977" s="2645">
        <f t="shared" ref="C977:K977" si="283">$B$21*(1+$B$7)^(C969-1)</f>
        <v>0</v>
      </c>
      <c r="D977" s="2645">
        <f t="shared" si="283"/>
        <v>0</v>
      </c>
      <c r="E977" s="2645">
        <f t="shared" si="283"/>
        <v>0</v>
      </c>
      <c r="F977" s="2645">
        <f t="shared" si="283"/>
        <v>0</v>
      </c>
      <c r="G977" s="2645">
        <f t="shared" si="283"/>
        <v>0</v>
      </c>
      <c r="H977" s="2645">
        <f t="shared" si="283"/>
        <v>0</v>
      </c>
      <c r="I977" s="2645">
        <f t="shared" si="283"/>
        <v>0</v>
      </c>
      <c r="J977" s="2645">
        <f t="shared" si="283"/>
        <v>0</v>
      </c>
      <c r="K977" s="2645">
        <f t="shared" si="283"/>
        <v>0</v>
      </c>
      <c r="Q977" s="683">
        <v>3</v>
      </c>
      <c r="R977" s="683">
        <v>20996</v>
      </c>
      <c r="S977" s="683">
        <v>159924.64547935996</v>
      </c>
    </row>
    <row r="978" spans="1:19">
      <c r="A978" s="683" t="s">
        <v>1215</v>
      </c>
      <c r="B978" s="2645">
        <f t="shared" ref="B978:K978" si="284">SUM(B970:B977)</f>
        <v>104784.88</v>
      </c>
      <c r="C978" s="2645">
        <f t="shared" si="284"/>
        <v>0</v>
      </c>
      <c r="D978" s="2645">
        <f t="shared" si="284"/>
        <v>0</v>
      </c>
      <c r="E978" s="2645">
        <f t="shared" si="284"/>
        <v>0</v>
      </c>
      <c r="F978" s="2645">
        <f t="shared" si="284"/>
        <v>0</v>
      </c>
      <c r="G978" s="2645">
        <f t="shared" si="284"/>
        <v>0</v>
      </c>
      <c r="H978" s="2645">
        <f t="shared" si="284"/>
        <v>0</v>
      </c>
      <c r="I978" s="2645">
        <f t="shared" si="284"/>
        <v>0</v>
      </c>
      <c r="J978" s="2645">
        <f t="shared" si="284"/>
        <v>0</v>
      </c>
      <c r="K978" s="2645">
        <f t="shared" si="284"/>
        <v>0</v>
      </c>
      <c r="Q978" s="683">
        <v>4</v>
      </c>
      <c r="R978" s="683">
        <v>20996</v>
      </c>
      <c r="S978" s="683">
        <v>210874.23503894714</v>
      </c>
    </row>
    <row r="979" spans="1:19">
      <c r="A979" s="683" t="s">
        <v>1603</v>
      </c>
      <c r="B979" s="2645">
        <f>'Part VII-Pro Forma'!B23</f>
        <v>0</v>
      </c>
      <c r="C979" s="2645">
        <f>'Part VII-Pro Forma'!C23</f>
        <v>0</v>
      </c>
      <c r="D979" s="2645">
        <f>'Part VII-Pro Forma'!D23</f>
        <v>0</v>
      </c>
      <c r="E979" s="2645">
        <f>'Part VII-Pro Forma'!E23</f>
        <v>0</v>
      </c>
      <c r="F979" s="2645">
        <f>'Part VII-Pro Forma'!F23</f>
        <v>0</v>
      </c>
      <c r="G979" s="2645">
        <f>'Part VII-Pro Forma'!G23</f>
        <v>0</v>
      </c>
      <c r="H979" s="2645">
        <f>'Part VII-Pro Forma'!H23</f>
        <v>0</v>
      </c>
      <c r="I979" s="2645">
        <f>'Part VII-Pro Forma'!I23</f>
        <v>0</v>
      </c>
      <c r="J979" s="2645">
        <f>'Part VII-Pro Forma'!J23</f>
        <v>0</v>
      </c>
      <c r="K979" s="2645">
        <f>'Part VII-Pro Forma'!K23</f>
        <v>0</v>
      </c>
      <c r="Q979" s="683">
        <v>5</v>
      </c>
      <c r="R979" s="683">
        <v>20996</v>
      </c>
      <c r="S979" s="683">
        <v>260486.66693722605</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20996</v>
      </c>
      <c r="S980" s="683">
        <v>308661.12853739562</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20996</v>
      </c>
      <c r="S981" s="683">
        <v>355294.29666541133</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20996</v>
      </c>
      <c r="S982" s="683">
        <v>400276.2081707053</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20996</v>
      </c>
      <c r="S983" s="683">
        <v>443494.12612126477</v>
      </c>
    </row>
    <row r="984" spans="1:19">
      <c r="A984" s="683" t="s">
        <v>1174</v>
      </c>
      <c r="B984" s="2645">
        <f>'Part VII-Pro Forma'!B28</f>
        <v>-5000</v>
      </c>
      <c r="C984" s="2645">
        <f>'Part VII-Pro Forma'!C28</f>
        <v>-5000</v>
      </c>
      <c r="D984" s="2645">
        <f>'Part VII-Pro Forma'!D28</f>
        <v>-5000</v>
      </c>
      <c r="E984" s="2645">
        <f>'Part VII-Pro Forma'!E28</f>
        <v>-5000</v>
      </c>
      <c r="F984" s="2645">
        <f>'Part VII-Pro Forma'!F28</f>
        <v>-5000</v>
      </c>
      <c r="G984" s="2645">
        <f>'Part VII-Pro Forma'!G28</f>
        <v>-5000</v>
      </c>
      <c r="H984" s="2645">
        <f>'Part VII-Pro Forma'!H28</f>
        <v>-5000</v>
      </c>
      <c r="I984" s="2645">
        <f>'Part VII-Pro Forma'!I28</f>
        <v>-5000</v>
      </c>
      <c r="J984" s="2645">
        <f>'Part VII-Pro Forma'!J28</f>
        <v>-5000</v>
      </c>
      <c r="K984" s="2645">
        <f>'Part VII-Pro Forma'!K28</f>
        <v>-5000</v>
      </c>
      <c r="Q984" s="683">
        <v>10</v>
      </c>
      <c r="R984" s="683">
        <v>20996</v>
      </c>
      <c r="S984" s="683">
        <v>484828.4014924498</v>
      </c>
    </row>
    <row r="985" spans="1:19">
      <c r="A985" s="683" t="s">
        <v>4127</v>
      </c>
      <c r="B985" s="2645">
        <f>'Part VII-Pro Forma'!B29</f>
        <v>-20996</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20996</v>
      </c>
      <c r="S985" s="683">
        <v>524157.33020452131</v>
      </c>
    </row>
    <row r="986" spans="1:19">
      <c r="A986" s="683" t="s">
        <v>1175</v>
      </c>
      <c r="B986" s="2645">
        <f>SUM(B978:B985)</f>
        <v>78788.88</v>
      </c>
      <c r="C986" s="2645">
        <f t="shared" ref="C986:K986" si="285">SUM(C978:C985)</f>
        <v>-5000</v>
      </c>
      <c r="D986" s="2645">
        <f t="shared" si="285"/>
        <v>-5000</v>
      </c>
      <c r="E986" s="2645">
        <f t="shared" si="285"/>
        <v>-5000</v>
      </c>
      <c r="F986" s="2645">
        <f t="shared" si="285"/>
        <v>-5000</v>
      </c>
      <c r="G986" s="2645">
        <f t="shared" si="285"/>
        <v>-5000</v>
      </c>
      <c r="H986" s="2645">
        <f t="shared" si="285"/>
        <v>-5000</v>
      </c>
      <c r="I986" s="2645">
        <f t="shared" si="285"/>
        <v>-5000</v>
      </c>
      <c r="J986" s="2645">
        <f t="shared" si="285"/>
        <v>-5000</v>
      </c>
      <c r="K986" s="2645">
        <f t="shared" si="285"/>
        <v>-5000</v>
      </c>
      <c r="Q986" s="683">
        <v>12</v>
      </c>
      <c r="R986" s="683">
        <v>20996</v>
      </c>
      <c r="S986" s="683">
        <v>561352.00535930088</v>
      </c>
    </row>
    <row r="987" spans="1:19">
      <c r="A987" s="683" t="str">
        <f>IF('Part III-Sources of Funds'!$E$37 = "Neither", "", "DCR Mortgage A")</f>
        <v>DCR Mortgage A</v>
      </c>
      <c r="B987" s="2646" t="str">
        <f t="shared" ref="B987:K987" si="286">IF(B979=0,"",-B978/B979)</f>
        <v/>
      </c>
      <c r="C987" s="2646" t="str">
        <f t="shared" si="286"/>
        <v/>
      </c>
      <c r="D987" s="2646" t="str">
        <f t="shared" si="286"/>
        <v/>
      </c>
      <c r="E987" s="2646" t="str">
        <f t="shared" si="286"/>
        <v/>
      </c>
      <c r="F987" s="2646" t="str">
        <f t="shared" si="286"/>
        <v/>
      </c>
      <c r="G987" s="2646" t="str">
        <f t="shared" si="286"/>
        <v/>
      </c>
      <c r="H987" s="2646" t="str">
        <f t="shared" si="286"/>
        <v/>
      </c>
      <c r="I987" s="2646" t="str">
        <f t="shared" si="286"/>
        <v/>
      </c>
      <c r="J987" s="2646" t="str">
        <f t="shared" si="286"/>
        <v/>
      </c>
      <c r="K987" s="2646" t="str">
        <f t="shared" si="286"/>
        <v/>
      </c>
      <c r="Q987" s="683">
        <v>13</v>
      </c>
      <c r="R987" s="683">
        <v>20996</v>
      </c>
      <c r="S987" s="683">
        <v>596280.16452169686</v>
      </c>
    </row>
    <row r="988" spans="1:19">
      <c r="A988" s="683" t="str">
        <f>IF('Part III-Sources of Funds'!$E$37 = "Neither", "", "DCR Mortgage B")</f>
        <v>DCR Mortgage B</v>
      </c>
      <c r="B988" s="2646" t="str">
        <f t="shared" ref="B988:K988" si="287">IF(B980=0,"",-(B978+B979)/B980)</f>
        <v/>
      </c>
      <c r="C988" s="2646" t="str">
        <f t="shared" si="287"/>
        <v/>
      </c>
      <c r="D988" s="2646" t="str">
        <f t="shared" si="287"/>
        <v/>
      </c>
      <c r="E988" s="2646" t="str">
        <f t="shared" si="287"/>
        <v/>
      </c>
      <c r="F988" s="2646" t="str">
        <f t="shared" si="287"/>
        <v/>
      </c>
      <c r="G988" s="2646" t="str">
        <f t="shared" si="287"/>
        <v/>
      </c>
      <c r="H988" s="2646" t="str">
        <f t="shared" si="287"/>
        <v/>
      </c>
      <c r="I988" s="2646" t="str">
        <f t="shared" si="287"/>
        <v/>
      </c>
      <c r="J988" s="2646" t="str">
        <f t="shared" si="287"/>
        <v/>
      </c>
      <c r="K988" s="2646" t="str">
        <f t="shared" si="287"/>
        <v/>
      </c>
      <c r="Q988" s="683">
        <v>14</v>
      </c>
      <c r="R988" s="683">
        <v>20996</v>
      </c>
      <c r="S988" s="683">
        <v>628802.03188699693</v>
      </c>
    </row>
    <row r="989" spans="1:19">
      <c r="A989" s="683" t="str">
        <f>IF('Part III-Sources of Funds'!$E$37 = "Neither", "DCR First Mortgage", "DCR Mortgage C")</f>
        <v>DCR Mortgage C</v>
      </c>
      <c r="B989" s="2646" t="str">
        <f t="shared" ref="B989:K989" si="288">IF(B981=0,"",-(B978+B979+B980)/B981)</f>
        <v/>
      </c>
      <c r="C989" s="2646" t="str">
        <f t="shared" si="288"/>
        <v/>
      </c>
      <c r="D989" s="2646" t="str">
        <f t="shared" si="288"/>
        <v/>
      </c>
      <c r="E989" s="2646" t="str">
        <f t="shared" si="288"/>
        <v/>
      </c>
      <c r="F989" s="2646" t="str">
        <f t="shared" si="288"/>
        <v/>
      </c>
      <c r="G989" s="2646" t="str">
        <f t="shared" si="288"/>
        <v/>
      </c>
      <c r="H989" s="2646" t="str">
        <f t="shared" si="288"/>
        <v/>
      </c>
      <c r="I989" s="2646" t="str">
        <f t="shared" si="288"/>
        <v/>
      </c>
      <c r="J989" s="2646" t="str">
        <f t="shared" si="288"/>
        <v/>
      </c>
      <c r="K989" s="2646" t="str">
        <f t="shared" si="288"/>
        <v/>
      </c>
      <c r="Q989" s="683">
        <v>15</v>
      </c>
      <c r="R989" s="683">
        <v>20996</v>
      </c>
      <c r="S989" s="683">
        <v>658774.15516984905</v>
      </c>
    </row>
    <row r="990" spans="1:19">
      <c r="A990" s="683" t="s">
        <v>791</v>
      </c>
      <c r="B990" s="2646" t="str">
        <f t="shared" ref="B990:K990" si="289">IF(B982=0,"",-(B978+B979+B980+B981)/B982)</f>
        <v/>
      </c>
      <c r="C990" s="2646" t="str">
        <f t="shared" si="289"/>
        <v/>
      </c>
      <c r="D990" s="2646" t="str">
        <f t="shared" si="289"/>
        <v/>
      </c>
      <c r="E990" s="2646" t="str">
        <f t="shared" si="289"/>
        <v/>
      </c>
      <c r="F990" s="2646" t="str">
        <f t="shared" si="289"/>
        <v/>
      </c>
      <c r="G990" s="2646" t="str">
        <f t="shared" si="289"/>
        <v/>
      </c>
      <c r="H990" s="2646" t="str">
        <f t="shared" si="289"/>
        <v/>
      </c>
      <c r="I990" s="2646" t="str">
        <f t="shared" si="289"/>
        <v/>
      </c>
      <c r="J990" s="2646" t="str">
        <f t="shared" si="289"/>
        <v/>
      </c>
      <c r="K990" s="2646" t="str">
        <f t="shared" si="289"/>
        <v/>
      </c>
      <c r="Q990" s="683">
        <v>16</v>
      </c>
      <c r="R990" s="683">
        <v>20996</v>
      </c>
      <c r="S990" s="683">
        <v>686046.23704571149</v>
      </c>
    </row>
    <row r="991" spans="1:19">
      <c r="A991" s="683" t="s">
        <v>3739</v>
      </c>
      <c r="B991" s="2646" t="str">
        <f t="shared" ref="B991:K991" si="290">IF(AND(B979=0,B980=0,B981=0,B982=0),"",-B978/(B979+B980+B981+B982))</f>
        <v/>
      </c>
      <c r="C991" s="2646" t="str">
        <f t="shared" si="290"/>
        <v/>
      </c>
      <c r="D991" s="2646" t="str">
        <f t="shared" si="290"/>
        <v/>
      </c>
      <c r="E991" s="2646" t="str">
        <f t="shared" si="290"/>
        <v/>
      </c>
      <c r="F991" s="2646" t="str">
        <f t="shared" si="290"/>
        <v/>
      </c>
      <c r="G991" s="2646" t="str">
        <f t="shared" si="290"/>
        <v/>
      </c>
      <c r="H991" s="2646" t="str">
        <f t="shared" si="290"/>
        <v/>
      </c>
      <c r="I991" s="2646" t="str">
        <f t="shared" si="290"/>
        <v/>
      </c>
      <c r="J991" s="2646" t="str">
        <f t="shared" si="290"/>
        <v/>
      </c>
      <c r="K991" s="2646" t="str">
        <f t="shared" si="290"/>
        <v/>
      </c>
      <c r="Q991" s="683">
        <v>17</v>
      </c>
      <c r="R991" s="683">
        <v>20996</v>
      </c>
      <c r="S991" s="683">
        <v>710461.96097026533</v>
      </c>
    </row>
    <row r="992" spans="1:19">
      <c r="A992" s="683" t="s">
        <v>778</v>
      </c>
      <c r="B992" s="2647">
        <f t="shared" ref="B992:K992" si="291">IF(OR(B976="Choose mgt fee",B976="Choose One!"),"",(B970+B971+B972+B973+B974) / -(B975+B976+B977))</f>
        <v>1.5219670236612703</v>
      </c>
      <c r="C992" s="2647" t="e">
        <f t="shared" si="291"/>
        <v>#DIV/0!</v>
      </c>
      <c r="D992" s="2647" t="e">
        <f t="shared" si="291"/>
        <v>#DIV/0!</v>
      </c>
      <c r="E992" s="2647" t="e">
        <f t="shared" si="291"/>
        <v>#DIV/0!</v>
      </c>
      <c r="F992" s="2647" t="e">
        <f t="shared" si="291"/>
        <v>#DIV/0!</v>
      </c>
      <c r="G992" s="2647" t="e">
        <f t="shared" si="291"/>
        <v>#DIV/0!</v>
      </c>
      <c r="H992" s="2647" t="e">
        <f t="shared" si="291"/>
        <v>#DIV/0!</v>
      </c>
      <c r="I992" s="2647" t="e">
        <f t="shared" si="291"/>
        <v>#DIV/0!</v>
      </c>
      <c r="J992" s="2647" t="e">
        <f t="shared" si="291"/>
        <v>#DIV/0!</v>
      </c>
      <c r="K992" s="2647" t="e">
        <f t="shared" si="291"/>
        <v>#DIV/0!</v>
      </c>
      <c r="Q992" s="683">
        <v>18</v>
      </c>
      <c r="R992" s="683">
        <v>20996</v>
      </c>
      <c r="S992" s="683">
        <v>731859.81119681941</v>
      </c>
    </row>
    <row r="993" spans="1:19">
      <c r="A993" s="683" t="s">
        <v>2633</v>
      </c>
      <c r="B993" s="2645" t="str">
        <f>'Part VII-Pro Forma'!B37</f>
        <v/>
      </c>
      <c r="C993" s="2645" t="str">
        <f>'Part VII-Pro Forma'!C37</f>
        <v/>
      </c>
      <c r="D993" s="2645" t="str">
        <f>'Part VII-Pro Forma'!D37</f>
        <v/>
      </c>
      <c r="E993" s="2645" t="str">
        <f>'Part VII-Pro Forma'!E37</f>
        <v/>
      </c>
      <c r="F993" s="2645" t="str">
        <f>'Part VII-Pro Forma'!F37</f>
        <v/>
      </c>
      <c r="G993" s="2645" t="str">
        <f>'Part VII-Pro Forma'!G37</f>
        <v/>
      </c>
      <c r="H993" s="2645" t="str">
        <f>'Part VII-Pro Forma'!H37</f>
        <v/>
      </c>
      <c r="I993" s="2645" t="str">
        <f>'Part VII-Pro Forma'!I37</f>
        <v/>
      </c>
      <c r="J993" s="2645" t="str">
        <f>'Part VII-Pro Forma'!J37</f>
        <v/>
      </c>
      <c r="K993" s="2645" t="str">
        <f>'Part VII-Pro Forma'!K37</f>
        <v/>
      </c>
      <c r="Q993" s="683">
        <v>19</v>
      </c>
      <c r="R993" s="683">
        <v>20996</v>
      </c>
      <c r="S993" s="683">
        <v>750070.88680611888</v>
      </c>
    </row>
    <row r="994" spans="1:19">
      <c r="A994" s="683" t="s">
        <v>2634</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20996</v>
      </c>
      <c r="S994" s="683">
        <v>764919.70955716539</v>
      </c>
    </row>
    <row r="995" spans="1:19">
      <c r="A995" s="683" t="s">
        <v>2635</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4128</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2495</v>
      </c>
      <c r="B999" s="2648">
        <f>K969+1</f>
        <v>11</v>
      </c>
      <c r="C999" s="2648">
        <f t="shared" ref="C999:K999" si="292">B999+1</f>
        <v>12</v>
      </c>
      <c r="D999" s="2648">
        <f t="shared" si="292"/>
        <v>13</v>
      </c>
      <c r="E999" s="2648">
        <f t="shared" si="292"/>
        <v>14</v>
      </c>
      <c r="F999" s="2648">
        <f t="shared" si="292"/>
        <v>15</v>
      </c>
      <c r="G999" s="2648">
        <f t="shared" si="292"/>
        <v>16</v>
      </c>
      <c r="H999" s="2648">
        <f t="shared" si="292"/>
        <v>17</v>
      </c>
      <c r="I999" s="2648">
        <f t="shared" si="292"/>
        <v>18</v>
      </c>
      <c r="J999" s="2648">
        <f t="shared" si="292"/>
        <v>19</v>
      </c>
      <c r="K999" s="2648">
        <f t="shared" si="292"/>
        <v>20</v>
      </c>
    </row>
    <row r="1000" spans="1:19">
      <c r="A1000" s="683" t="s">
        <v>2419</v>
      </c>
      <c r="B1000" s="2645">
        <f t="shared" ref="B1000:K1000" si="293">$B$14*(1+$B$5)^(B999-1)</f>
        <v>0</v>
      </c>
      <c r="C1000" s="2645">
        <f t="shared" si="293"/>
        <v>0</v>
      </c>
      <c r="D1000" s="2645">
        <f t="shared" si="293"/>
        <v>0</v>
      </c>
      <c r="E1000" s="2645">
        <f t="shared" si="293"/>
        <v>0</v>
      </c>
      <c r="F1000" s="2645">
        <f t="shared" si="293"/>
        <v>0</v>
      </c>
      <c r="G1000" s="2645">
        <f t="shared" si="293"/>
        <v>0</v>
      </c>
      <c r="H1000" s="2645">
        <f t="shared" si="293"/>
        <v>0</v>
      </c>
      <c r="I1000" s="2645">
        <f t="shared" si="293"/>
        <v>0</v>
      </c>
      <c r="J1000" s="2645">
        <f t="shared" si="293"/>
        <v>0</v>
      </c>
      <c r="K1000" s="2645">
        <f t="shared" si="293"/>
        <v>0</v>
      </c>
    </row>
    <row r="1001" spans="1:19">
      <c r="A1001" s="683" t="s">
        <v>1026</v>
      </c>
      <c r="B1001" s="2645">
        <f t="shared" ref="B1001:K1001" si="294">$B$15*(1+$B$5)^(B999-1)</f>
        <v>0</v>
      </c>
      <c r="C1001" s="2645">
        <f t="shared" si="294"/>
        <v>0</v>
      </c>
      <c r="D1001" s="2645">
        <f t="shared" si="294"/>
        <v>0</v>
      </c>
      <c r="E1001" s="2645">
        <f t="shared" si="294"/>
        <v>0</v>
      </c>
      <c r="F1001" s="2645">
        <f t="shared" si="294"/>
        <v>0</v>
      </c>
      <c r="G1001" s="2645">
        <f t="shared" si="294"/>
        <v>0</v>
      </c>
      <c r="H1001" s="2645">
        <f t="shared" si="294"/>
        <v>0</v>
      </c>
      <c r="I1001" s="2645">
        <f t="shared" si="294"/>
        <v>0</v>
      </c>
      <c r="J1001" s="2645">
        <f t="shared" si="294"/>
        <v>0</v>
      </c>
      <c r="K1001" s="2645">
        <f t="shared" si="294"/>
        <v>0</v>
      </c>
    </row>
    <row r="1002" spans="1:19">
      <c r="A1002" s="683" t="s">
        <v>2420</v>
      </c>
      <c r="B1002" s="2645">
        <f t="shared" ref="B1002:K1002" si="295">-(B1000+B1001)*$B$8</f>
        <v>0</v>
      </c>
      <c r="C1002" s="2645">
        <f t="shared" si="295"/>
        <v>0</v>
      </c>
      <c r="D1002" s="2645">
        <f t="shared" si="295"/>
        <v>0</v>
      </c>
      <c r="E1002" s="2645">
        <f t="shared" si="295"/>
        <v>0</v>
      </c>
      <c r="F1002" s="2645">
        <f t="shared" si="295"/>
        <v>0</v>
      </c>
      <c r="G1002" s="2645">
        <f t="shared" si="295"/>
        <v>0</v>
      </c>
      <c r="H1002" s="2645">
        <f t="shared" si="295"/>
        <v>0</v>
      </c>
      <c r="I1002" s="2645">
        <f t="shared" si="295"/>
        <v>0</v>
      </c>
      <c r="J1002" s="2645">
        <f t="shared" si="295"/>
        <v>0</v>
      </c>
      <c r="K1002" s="2645">
        <f t="shared" si="295"/>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6">$B$19*(1+$B$6)^(B999-1)</f>
        <v>0</v>
      </c>
      <c r="C1005" s="2645">
        <f t="shared" si="296"/>
        <v>0</v>
      </c>
      <c r="D1005" s="2645">
        <f t="shared" si="296"/>
        <v>0</v>
      </c>
      <c r="E1005" s="2645">
        <f t="shared" si="296"/>
        <v>0</v>
      </c>
      <c r="F1005" s="2645">
        <f t="shared" si="296"/>
        <v>0</v>
      </c>
      <c r="G1005" s="2645">
        <f t="shared" si="296"/>
        <v>0</v>
      </c>
      <c r="H1005" s="2645">
        <f t="shared" si="296"/>
        <v>0</v>
      </c>
      <c r="I1005" s="2645">
        <f t="shared" si="296"/>
        <v>0</v>
      </c>
      <c r="J1005" s="2645">
        <f t="shared" si="296"/>
        <v>0</v>
      </c>
      <c r="K1005" s="2645">
        <f t="shared" si="296"/>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7">$B$21*(1+$B$7)^(B999-1)</f>
        <v>0</v>
      </c>
      <c r="C1007" s="2645">
        <f t="shared" si="297"/>
        <v>0</v>
      </c>
      <c r="D1007" s="2645">
        <f t="shared" si="297"/>
        <v>0</v>
      </c>
      <c r="E1007" s="2645">
        <f t="shared" si="297"/>
        <v>0</v>
      </c>
      <c r="F1007" s="2645">
        <f t="shared" si="297"/>
        <v>0</v>
      </c>
      <c r="G1007" s="2645">
        <f t="shared" si="297"/>
        <v>0</v>
      </c>
      <c r="H1007" s="2645">
        <f t="shared" si="297"/>
        <v>0</v>
      </c>
      <c r="I1007" s="2645">
        <f t="shared" si="297"/>
        <v>0</v>
      </c>
      <c r="J1007" s="2645">
        <f t="shared" si="297"/>
        <v>0</v>
      </c>
      <c r="K1007" s="2645">
        <f t="shared" si="297"/>
        <v>0</v>
      </c>
    </row>
    <row r="1008" spans="1:19">
      <c r="A1008" s="683" t="s">
        <v>1215</v>
      </c>
      <c r="B1008" s="2645">
        <f t="shared" ref="B1008:K1008" si="298">SUM(B1000:B1007)</f>
        <v>0</v>
      </c>
      <c r="C1008" s="2645">
        <f t="shared" si="298"/>
        <v>0</v>
      </c>
      <c r="D1008" s="2645">
        <f t="shared" si="298"/>
        <v>0</v>
      </c>
      <c r="E1008" s="2645">
        <f t="shared" si="298"/>
        <v>0</v>
      </c>
      <c r="F1008" s="2645">
        <f t="shared" si="298"/>
        <v>0</v>
      </c>
      <c r="G1008" s="2645">
        <f t="shared" si="298"/>
        <v>0</v>
      </c>
      <c r="H1008" s="2645">
        <f t="shared" si="298"/>
        <v>0</v>
      </c>
      <c r="I1008" s="2645">
        <f t="shared" si="298"/>
        <v>0</v>
      </c>
      <c r="J1008" s="2645">
        <f t="shared" si="298"/>
        <v>0</v>
      </c>
      <c r="K1008" s="2645">
        <f t="shared" si="298"/>
        <v>0</v>
      </c>
    </row>
    <row r="1009" spans="1:11">
      <c r="A1009" s="683" t="str">
        <f>$A979</f>
        <v>Mortgage A</v>
      </c>
      <c r="B1009" s="2645">
        <f>'Part VII-Pro Forma'!B53</f>
        <v>0</v>
      </c>
      <c r="C1009" s="2645">
        <f>'Part VII-Pro Forma'!C53</f>
        <v>0</v>
      </c>
      <c r="D1009" s="2645">
        <f>'Part VII-Pro Forma'!D53</f>
        <v>0</v>
      </c>
      <c r="E1009" s="2645">
        <f>'Part VII-Pro Forma'!E53</f>
        <v>0</v>
      </c>
      <c r="F1009" s="2645">
        <f>'Part VII-Pro Forma'!F53</f>
        <v>0</v>
      </c>
      <c r="G1009" s="2645">
        <f>'Part VII-Pro Forma'!G53</f>
        <v>0</v>
      </c>
      <c r="H1009" s="2645">
        <f>'Part VII-Pro Forma'!H53</f>
        <v>0</v>
      </c>
      <c r="I1009" s="2645">
        <f>'Part VII-Pro Forma'!I53</f>
        <v>0</v>
      </c>
      <c r="J1009" s="2645">
        <f>'Part VII-Pro Forma'!J53</f>
        <v>0</v>
      </c>
      <c r="K1009" s="2645">
        <f>'Part VII-Pro Forma'!K53</f>
        <v>0</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-5000</v>
      </c>
      <c r="C1014" s="2645">
        <f>'Part VII-Pro Forma'!C58</f>
        <v>-5000</v>
      </c>
      <c r="D1014" s="2645">
        <f>'Part VII-Pro Forma'!D58</f>
        <v>-5000</v>
      </c>
      <c r="E1014" s="2645">
        <f>'Part VII-Pro Forma'!E58</f>
        <v>-5000</v>
      </c>
      <c r="F1014" s="2645">
        <f>'Part VII-Pro Forma'!F58</f>
        <v>-5000</v>
      </c>
      <c r="G1014" s="2645">
        <f>'Part VII-Pro Forma'!G58</f>
        <v>-5000</v>
      </c>
      <c r="H1014" s="2645">
        <f>'Part VII-Pro Forma'!H58</f>
        <v>-5000</v>
      </c>
      <c r="I1014" s="2645">
        <f>'Part VII-Pro Forma'!I58</f>
        <v>-5000</v>
      </c>
      <c r="J1014" s="2645">
        <f>'Part VII-Pro Forma'!J58</f>
        <v>-5000</v>
      </c>
      <c r="K1014" s="2645">
        <f>'Part VII-Pro Forma'!K58</f>
        <v>-5000</v>
      </c>
    </row>
    <row r="1015" spans="1:11">
      <c r="A1015" s="683" t="s">
        <v>4127</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-5000</v>
      </c>
      <c r="C1016" s="2645">
        <f t="shared" ref="C1016:K1016" si="299">SUM(C1008:C1015)</f>
        <v>-5000</v>
      </c>
      <c r="D1016" s="2645">
        <f t="shared" si="299"/>
        <v>-5000</v>
      </c>
      <c r="E1016" s="2645">
        <f t="shared" si="299"/>
        <v>-5000</v>
      </c>
      <c r="F1016" s="2645">
        <f t="shared" si="299"/>
        <v>-5000</v>
      </c>
      <c r="G1016" s="2645">
        <f t="shared" si="299"/>
        <v>-5000</v>
      </c>
      <c r="H1016" s="2645">
        <f t="shared" si="299"/>
        <v>-5000</v>
      </c>
      <c r="I1016" s="2645">
        <f t="shared" si="299"/>
        <v>-5000</v>
      </c>
      <c r="J1016" s="2645">
        <f t="shared" si="299"/>
        <v>-5000</v>
      </c>
      <c r="K1016" s="2645">
        <f t="shared" si="299"/>
        <v>-5000</v>
      </c>
    </row>
    <row r="1017" spans="1:11">
      <c r="A1017" s="683" t="str">
        <f>$A987</f>
        <v>DCR Mortgage A</v>
      </c>
      <c r="B1017" s="2646" t="str">
        <f t="shared" ref="B1017:K1017" si="300">IF(B1009=0,"",-B1008/B1009)</f>
        <v/>
      </c>
      <c r="C1017" s="2646" t="str">
        <f t="shared" si="300"/>
        <v/>
      </c>
      <c r="D1017" s="2646" t="str">
        <f t="shared" si="300"/>
        <v/>
      </c>
      <c r="E1017" s="2646" t="str">
        <f t="shared" si="300"/>
        <v/>
      </c>
      <c r="F1017" s="2646" t="str">
        <f t="shared" si="300"/>
        <v/>
      </c>
      <c r="G1017" s="2646" t="str">
        <f t="shared" si="300"/>
        <v/>
      </c>
      <c r="H1017" s="2646" t="str">
        <f t="shared" si="300"/>
        <v/>
      </c>
      <c r="I1017" s="2646" t="str">
        <f t="shared" si="300"/>
        <v/>
      </c>
      <c r="J1017" s="2646" t="str">
        <f t="shared" si="300"/>
        <v/>
      </c>
      <c r="K1017" s="2646" t="str">
        <f t="shared" si="300"/>
        <v/>
      </c>
    </row>
    <row r="1018" spans="1:11">
      <c r="A1018" s="683" t="str">
        <f>$A988</f>
        <v>DCR Mortgage B</v>
      </c>
      <c r="B1018" s="2646" t="str">
        <f t="shared" ref="B1018:K1018" si="301">IF(B1010=0,"",-(B1008+B1009)/B1010)</f>
        <v/>
      </c>
      <c r="C1018" s="2646" t="str">
        <f t="shared" si="301"/>
        <v/>
      </c>
      <c r="D1018" s="2646" t="str">
        <f t="shared" si="301"/>
        <v/>
      </c>
      <c r="E1018" s="2646" t="str">
        <f t="shared" si="301"/>
        <v/>
      </c>
      <c r="F1018" s="2646" t="str">
        <f t="shared" si="301"/>
        <v/>
      </c>
      <c r="G1018" s="2646" t="str">
        <f t="shared" si="301"/>
        <v/>
      </c>
      <c r="H1018" s="2646" t="str">
        <f t="shared" si="301"/>
        <v/>
      </c>
      <c r="I1018" s="2646" t="str">
        <f t="shared" si="301"/>
        <v/>
      </c>
      <c r="J1018" s="2646" t="str">
        <f t="shared" si="301"/>
        <v/>
      </c>
      <c r="K1018" s="2646" t="str">
        <f t="shared" si="301"/>
        <v/>
      </c>
    </row>
    <row r="1019" spans="1:11">
      <c r="A1019" s="683" t="str">
        <f>$A989</f>
        <v>DCR Mortgage C</v>
      </c>
      <c r="B1019" s="2646" t="str">
        <f t="shared" ref="B1019:K1019" si="302">IF(B1011=0,"",-(B1008+B1009+B1010)/B1011)</f>
        <v/>
      </c>
      <c r="C1019" s="2646" t="str">
        <f t="shared" si="302"/>
        <v/>
      </c>
      <c r="D1019" s="2646" t="str">
        <f t="shared" si="302"/>
        <v/>
      </c>
      <c r="E1019" s="2646" t="str">
        <f t="shared" si="302"/>
        <v/>
      </c>
      <c r="F1019" s="2646" t="str">
        <f t="shared" si="302"/>
        <v/>
      </c>
      <c r="G1019" s="2646" t="str">
        <f t="shared" si="302"/>
        <v/>
      </c>
      <c r="H1019" s="2646" t="str">
        <f t="shared" si="302"/>
        <v/>
      </c>
      <c r="I1019" s="2646" t="str">
        <f t="shared" si="302"/>
        <v/>
      </c>
      <c r="J1019" s="2646" t="str">
        <f t="shared" si="302"/>
        <v/>
      </c>
      <c r="K1019" s="2646" t="str">
        <f t="shared" si="302"/>
        <v/>
      </c>
    </row>
    <row r="1020" spans="1:11">
      <c r="A1020" s="683" t="str">
        <f>$A990</f>
        <v>DCR Other Source</v>
      </c>
      <c r="B1020" s="2646" t="str">
        <f t="shared" ref="B1020:K1020" si="303">IF(B1012=0,"",-(B1008+B1009+B1010+B1011)/B1012)</f>
        <v/>
      </c>
      <c r="C1020" s="2646" t="str">
        <f t="shared" si="303"/>
        <v/>
      </c>
      <c r="D1020" s="2646" t="str">
        <f t="shared" si="303"/>
        <v/>
      </c>
      <c r="E1020" s="2646" t="str">
        <f t="shared" si="303"/>
        <v/>
      </c>
      <c r="F1020" s="2646" t="str">
        <f t="shared" si="303"/>
        <v/>
      </c>
      <c r="G1020" s="2646" t="str">
        <f t="shared" si="303"/>
        <v/>
      </c>
      <c r="H1020" s="2646" t="str">
        <f t="shared" si="303"/>
        <v/>
      </c>
      <c r="I1020" s="2646" t="str">
        <f t="shared" si="303"/>
        <v/>
      </c>
      <c r="J1020" s="2646" t="str">
        <f t="shared" si="303"/>
        <v/>
      </c>
      <c r="K1020" s="2646" t="str">
        <f t="shared" si="303"/>
        <v/>
      </c>
    </row>
    <row r="1021" spans="1:11">
      <c r="A1021" s="683" t="s">
        <v>3739</v>
      </c>
      <c r="B1021" s="2646" t="str">
        <f t="shared" ref="B1021:K1021" si="304">IF(AND(B1009=0,B1010=0,B1011=0,B1012=0),"",-B1008/(B1009+B1010+B1011+B1012))</f>
        <v/>
      </c>
      <c r="C1021" s="2646" t="str">
        <f t="shared" si="304"/>
        <v/>
      </c>
      <c r="D1021" s="2646" t="str">
        <f t="shared" si="304"/>
        <v/>
      </c>
      <c r="E1021" s="2646" t="str">
        <f t="shared" si="304"/>
        <v/>
      </c>
      <c r="F1021" s="2646" t="str">
        <f t="shared" si="304"/>
        <v/>
      </c>
      <c r="G1021" s="2646" t="str">
        <f t="shared" si="304"/>
        <v/>
      </c>
      <c r="H1021" s="2646" t="str">
        <f t="shared" si="304"/>
        <v/>
      </c>
      <c r="I1021" s="2646" t="str">
        <f t="shared" si="304"/>
        <v/>
      </c>
      <c r="J1021" s="2646" t="str">
        <f t="shared" si="304"/>
        <v/>
      </c>
      <c r="K1021" s="2646" t="str">
        <f t="shared" si="304"/>
        <v/>
      </c>
    </row>
    <row r="1022" spans="1:11">
      <c r="A1022" s="683" t="s">
        <v>778</v>
      </c>
      <c r="B1022" s="2647" t="e">
        <f t="shared" ref="B1022:K1022" si="305">IF(OR(B1006="Choose mgt fee",B1006="Choose One!"),"",(B1000+B1001+B1002+B1003+B1004) / -(B1005+B1006+B1007))</f>
        <v>#DIV/0!</v>
      </c>
      <c r="C1022" s="2647" t="e">
        <f t="shared" si="305"/>
        <v>#DIV/0!</v>
      </c>
      <c r="D1022" s="2647" t="e">
        <f t="shared" si="305"/>
        <v>#DIV/0!</v>
      </c>
      <c r="E1022" s="2647" t="e">
        <f t="shared" si="305"/>
        <v>#DIV/0!</v>
      </c>
      <c r="F1022" s="2647" t="e">
        <f t="shared" si="305"/>
        <v>#DIV/0!</v>
      </c>
      <c r="G1022" s="2647" t="e">
        <f t="shared" si="305"/>
        <v>#DIV/0!</v>
      </c>
      <c r="H1022" s="2647" t="e">
        <f t="shared" si="305"/>
        <v>#DIV/0!</v>
      </c>
      <c r="I1022" s="2647" t="e">
        <f t="shared" si="305"/>
        <v>#DIV/0!</v>
      </c>
      <c r="J1022" s="2647" t="e">
        <f t="shared" si="305"/>
        <v>#DIV/0!</v>
      </c>
      <c r="K1022" s="2647" t="e">
        <f t="shared" si="305"/>
        <v>#DIV/0!</v>
      </c>
    </row>
    <row r="1023" spans="1:11">
      <c r="A1023" s="683" t="s">
        <v>2633</v>
      </c>
      <c r="B1023" s="2645" t="str">
        <f>'Part VII-Pro Forma'!B67</f>
        <v/>
      </c>
      <c r="C1023" s="2645" t="str">
        <f>'Part VII-Pro Forma'!C67</f>
        <v/>
      </c>
      <c r="D1023" s="2645" t="str">
        <f>'Part VII-Pro Forma'!D67</f>
        <v/>
      </c>
      <c r="E1023" s="2645" t="str">
        <f>'Part VII-Pro Forma'!E67</f>
        <v/>
      </c>
      <c r="F1023" s="2645" t="str">
        <f>'Part VII-Pro Forma'!F67</f>
        <v/>
      </c>
      <c r="G1023" s="2645" t="str">
        <f>'Part VII-Pro Forma'!G67</f>
        <v/>
      </c>
      <c r="H1023" s="2645" t="str">
        <f>'Part VII-Pro Forma'!H67</f>
        <v/>
      </c>
      <c r="I1023" s="2645" t="str">
        <f>'Part VII-Pro Forma'!I67</f>
        <v/>
      </c>
      <c r="J1023" s="2645" t="str">
        <f>'Part VII-Pro Forma'!J67</f>
        <v/>
      </c>
      <c r="K1023" s="2645" t="str">
        <f>'Part VII-Pro Forma'!K67</f>
        <v/>
      </c>
    </row>
    <row r="1024" spans="1:11">
      <c r="A1024" s="683" t="s">
        <v>2634</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2635</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4128</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2495</v>
      </c>
      <c r="B1029" s="2648">
        <f>K999+1</f>
        <v>21</v>
      </c>
      <c r="C1029" s="2648">
        <f t="shared" ref="C1029:K1029" si="306">B1029+1</f>
        <v>22</v>
      </c>
      <c r="D1029" s="2648">
        <f t="shared" si="306"/>
        <v>23</v>
      </c>
      <c r="E1029" s="2648">
        <f t="shared" si="306"/>
        <v>24</v>
      </c>
      <c r="F1029" s="2648">
        <f t="shared" si="306"/>
        <v>25</v>
      </c>
      <c r="G1029" s="2648">
        <f t="shared" si="306"/>
        <v>26</v>
      </c>
      <c r="H1029" s="2648">
        <f t="shared" si="306"/>
        <v>27</v>
      </c>
      <c r="I1029" s="2648">
        <f t="shared" si="306"/>
        <v>28</v>
      </c>
      <c r="J1029" s="2648">
        <f t="shared" si="306"/>
        <v>29</v>
      </c>
      <c r="K1029" s="2648">
        <f t="shared" si="306"/>
        <v>30</v>
      </c>
    </row>
    <row r="1030" spans="1:11">
      <c r="A1030" s="683" t="s">
        <v>2419</v>
      </c>
      <c r="B1030" s="2645">
        <f t="shared" ref="B1030:K1030" si="307">$B$14*(1+$B$5)^(B1029-1)</f>
        <v>0</v>
      </c>
      <c r="C1030" s="2645">
        <f t="shared" si="307"/>
        <v>0</v>
      </c>
      <c r="D1030" s="2645">
        <f t="shared" si="307"/>
        <v>0</v>
      </c>
      <c r="E1030" s="2645">
        <f t="shared" si="307"/>
        <v>0</v>
      </c>
      <c r="F1030" s="2645">
        <f t="shared" si="307"/>
        <v>0</v>
      </c>
      <c r="G1030" s="2645">
        <f t="shared" si="307"/>
        <v>0</v>
      </c>
      <c r="H1030" s="2645">
        <f t="shared" si="307"/>
        <v>0</v>
      </c>
      <c r="I1030" s="2645">
        <f t="shared" si="307"/>
        <v>0</v>
      </c>
      <c r="J1030" s="2645">
        <f t="shared" si="307"/>
        <v>0</v>
      </c>
      <c r="K1030" s="2645">
        <f t="shared" si="307"/>
        <v>0</v>
      </c>
    </row>
    <row r="1031" spans="1:11">
      <c r="A1031" s="683" t="s">
        <v>1026</v>
      </c>
      <c r="B1031" s="2645">
        <f t="shared" ref="B1031:K1031" si="308">$B$15*(1+$B$5)^(B1029-1)</f>
        <v>0</v>
      </c>
      <c r="C1031" s="2645">
        <f t="shared" si="308"/>
        <v>0</v>
      </c>
      <c r="D1031" s="2645">
        <f t="shared" si="308"/>
        <v>0</v>
      </c>
      <c r="E1031" s="2645">
        <f t="shared" si="308"/>
        <v>0</v>
      </c>
      <c r="F1031" s="2645">
        <f t="shared" si="308"/>
        <v>0</v>
      </c>
      <c r="G1031" s="2645">
        <f t="shared" si="308"/>
        <v>0</v>
      </c>
      <c r="H1031" s="2645">
        <f t="shared" si="308"/>
        <v>0</v>
      </c>
      <c r="I1031" s="2645">
        <f t="shared" si="308"/>
        <v>0</v>
      </c>
      <c r="J1031" s="2645">
        <f t="shared" si="308"/>
        <v>0</v>
      </c>
      <c r="K1031" s="2645">
        <f t="shared" si="308"/>
        <v>0</v>
      </c>
    </row>
    <row r="1032" spans="1:11">
      <c r="A1032" s="683" t="s">
        <v>2420</v>
      </c>
      <c r="B1032" s="2645">
        <f t="shared" ref="B1032:K1032" si="309">-(B1030+B1031)*$B$8</f>
        <v>0</v>
      </c>
      <c r="C1032" s="2645">
        <f t="shared" si="309"/>
        <v>0</v>
      </c>
      <c r="D1032" s="2645">
        <f t="shared" si="309"/>
        <v>0</v>
      </c>
      <c r="E1032" s="2645">
        <f t="shared" si="309"/>
        <v>0</v>
      </c>
      <c r="F1032" s="2645">
        <f t="shared" si="309"/>
        <v>0</v>
      </c>
      <c r="G1032" s="2645">
        <f t="shared" si="309"/>
        <v>0</v>
      </c>
      <c r="H1032" s="2645">
        <f t="shared" si="309"/>
        <v>0</v>
      </c>
      <c r="I1032" s="2645">
        <f t="shared" si="309"/>
        <v>0</v>
      </c>
      <c r="J1032" s="2645">
        <f t="shared" si="309"/>
        <v>0</v>
      </c>
      <c r="K1032" s="2645">
        <f t="shared" si="309"/>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0">$B$19*(1+$B$6)^(B1029-1)</f>
        <v>0</v>
      </c>
      <c r="C1035" s="2645">
        <f t="shared" si="310"/>
        <v>0</v>
      </c>
      <c r="D1035" s="2645">
        <f t="shared" si="310"/>
        <v>0</v>
      </c>
      <c r="E1035" s="2645">
        <f t="shared" si="310"/>
        <v>0</v>
      </c>
      <c r="F1035" s="2645">
        <f t="shared" si="310"/>
        <v>0</v>
      </c>
      <c r="G1035" s="2645">
        <f t="shared" si="310"/>
        <v>0</v>
      </c>
      <c r="H1035" s="2645">
        <f t="shared" si="310"/>
        <v>0</v>
      </c>
      <c r="I1035" s="2645">
        <f t="shared" si="310"/>
        <v>0</v>
      </c>
      <c r="J1035" s="2645">
        <f t="shared" si="310"/>
        <v>0</v>
      </c>
      <c r="K1035" s="2645">
        <f t="shared" si="310"/>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1">$B$21*(1+$B$7)^(B1029-1)</f>
        <v>0</v>
      </c>
      <c r="C1037" s="2645">
        <f t="shared" si="311"/>
        <v>0</v>
      </c>
      <c r="D1037" s="2645">
        <f t="shared" si="311"/>
        <v>0</v>
      </c>
      <c r="E1037" s="2645">
        <f t="shared" si="311"/>
        <v>0</v>
      </c>
      <c r="F1037" s="2645">
        <f t="shared" si="311"/>
        <v>0</v>
      </c>
      <c r="G1037" s="2645">
        <f t="shared" si="311"/>
        <v>0</v>
      </c>
      <c r="H1037" s="2645">
        <f t="shared" si="311"/>
        <v>0</v>
      </c>
      <c r="I1037" s="2645">
        <f t="shared" si="311"/>
        <v>0</v>
      </c>
      <c r="J1037" s="2645">
        <f t="shared" si="311"/>
        <v>0</v>
      </c>
      <c r="K1037" s="2645">
        <f t="shared" si="311"/>
        <v>0</v>
      </c>
    </row>
    <row r="1038" spans="1:11">
      <c r="A1038" s="683" t="s">
        <v>1215</v>
      </c>
      <c r="B1038" s="2645">
        <f t="shared" ref="B1038:K1038" si="312">SUM(B1030:B1037)</f>
        <v>0</v>
      </c>
      <c r="C1038" s="2645">
        <f t="shared" si="312"/>
        <v>0</v>
      </c>
      <c r="D1038" s="2645">
        <f t="shared" si="312"/>
        <v>0</v>
      </c>
      <c r="E1038" s="2645">
        <f t="shared" si="312"/>
        <v>0</v>
      </c>
      <c r="F1038" s="2645">
        <f t="shared" si="312"/>
        <v>0</v>
      </c>
      <c r="G1038" s="2645">
        <f t="shared" si="312"/>
        <v>0</v>
      </c>
      <c r="H1038" s="2645">
        <f t="shared" si="312"/>
        <v>0</v>
      </c>
      <c r="I1038" s="2645">
        <f t="shared" si="312"/>
        <v>0</v>
      </c>
      <c r="J1038" s="2645">
        <f t="shared" si="312"/>
        <v>0</v>
      </c>
      <c r="K1038" s="2645">
        <f t="shared" si="312"/>
        <v>0</v>
      </c>
    </row>
    <row r="1039" spans="1:11">
      <c r="A1039" s="683" t="str">
        <f>$A1009</f>
        <v>Mortgage A</v>
      </c>
      <c r="B1039" s="2645">
        <f>'Part VII-Pro Forma'!B83</f>
        <v>0</v>
      </c>
      <c r="C1039" s="2645">
        <f>'Part VII-Pro Forma'!C83</f>
        <v>0</v>
      </c>
      <c r="D1039" s="2645">
        <f>'Part VII-Pro Forma'!D83</f>
        <v>0</v>
      </c>
      <c r="E1039" s="2645">
        <f>'Part VII-Pro Forma'!E83</f>
        <v>0</v>
      </c>
      <c r="F1039" s="2645">
        <f>'Part VII-Pro Forma'!F83</f>
        <v>0</v>
      </c>
      <c r="G1039" s="2645">
        <f>'Part VII-Pro Forma'!G83</f>
        <v>0</v>
      </c>
      <c r="H1039" s="2645">
        <f>'Part VII-Pro Forma'!H83</f>
        <v>0</v>
      </c>
      <c r="I1039" s="2645">
        <f>'Part VII-Pro Forma'!I83</f>
        <v>0</v>
      </c>
      <c r="J1039" s="2645">
        <f>'Part VII-Pro Forma'!J83</f>
        <v>0</v>
      </c>
      <c r="K1039" s="2645">
        <f>'Part VII-Pro Forma'!K83</f>
        <v>0</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-5000</v>
      </c>
      <c r="C1044" s="2645">
        <f>'Part VII-Pro Forma'!C88</f>
        <v>-5000</v>
      </c>
      <c r="D1044" s="2645">
        <f>'Part VII-Pro Forma'!D88</f>
        <v>-5000</v>
      </c>
      <c r="E1044" s="2645">
        <f>'Part VII-Pro Forma'!E88</f>
        <v>-5000</v>
      </c>
      <c r="F1044" s="2645">
        <f>'Part VII-Pro Forma'!F88</f>
        <v>-5000</v>
      </c>
      <c r="G1044" s="2645">
        <f>'Part VII-Pro Forma'!G88</f>
        <v>-5000</v>
      </c>
      <c r="H1044" s="2645">
        <f>'Part VII-Pro Forma'!H88</f>
        <v>-5000</v>
      </c>
      <c r="I1044" s="2645">
        <f>'Part VII-Pro Forma'!I88</f>
        <v>-5000</v>
      </c>
      <c r="J1044" s="2645">
        <f>'Part VII-Pro Forma'!J88</f>
        <v>-5000</v>
      </c>
      <c r="K1044" s="2645">
        <f>'Part VII-Pro Forma'!K88</f>
        <v>-5000</v>
      </c>
    </row>
    <row r="1045" spans="1:11">
      <c r="A1045" s="683" t="s">
        <v>1175</v>
      </c>
      <c r="B1045" s="2645">
        <f t="shared" ref="B1045:K1045" si="313">SUM(B1038:B1044)</f>
        <v>-5000</v>
      </c>
      <c r="C1045" s="2645">
        <f t="shared" si="313"/>
        <v>-5000</v>
      </c>
      <c r="D1045" s="2645">
        <f t="shared" si="313"/>
        <v>-5000</v>
      </c>
      <c r="E1045" s="2645">
        <f t="shared" si="313"/>
        <v>-5000</v>
      </c>
      <c r="F1045" s="2645">
        <f t="shared" si="313"/>
        <v>-5000</v>
      </c>
      <c r="G1045" s="2645">
        <f t="shared" si="313"/>
        <v>-5000</v>
      </c>
      <c r="H1045" s="2645">
        <f t="shared" si="313"/>
        <v>-5000</v>
      </c>
      <c r="I1045" s="2645">
        <f t="shared" si="313"/>
        <v>-5000</v>
      </c>
      <c r="J1045" s="2645">
        <f t="shared" si="313"/>
        <v>-5000</v>
      </c>
      <c r="K1045" s="2645">
        <f t="shared" si="313"/>
        <v>-5000</v>
      </c>
    </row>
    <row r="1046" spans="1:11">
      <c r="A1046" s="683" t="str">
        <f>$A1017</f>
        <v>DCR Mortgage A</v>
      </c>
      <c r="B1046" s="2646" t="str">
        <f>IF(B1039=0,"",-B1038/B1039)</f>
        <v/>
      </c>
      <c r="C1046" s="2646" t="str">
        <f t="shared" ref="C1046:K1046" si="314">IF(C1039=0,"",-C1038/C1039)</f>
        <v/>
      </c>
      <c r="D1046" s="2646" t="str">
        <f t="shared" si="314"/>
        <v/>
      </c>
      <c r="E1046" s="2646" t="str">
        <f t="shared" si="314"/>
        <v/>
      </c>
      <c r="F1046" s="2646" t="str">
        <f t="shared" si="314"/>
        <v/>
      </c>
      <c r="G1046" s="2646" t="str">
        <f t="shared" si="314"/>
        <v/>
      </c>
      <c r="H1046" s="2646" t="str">
        <f t="shared" si="314"/>
        <v/>
      </c>
      <c r="I1046" s="2646" t="str">
        <f t="shared" si="314"/>
        <v/>
      </c>
      <c r="J1046" s="2646" t="str">
        <f t="shared" si="314"/>
        <v/>
      </c>
      <c r="K1046" s="2646" t="str">
        <f t="shared" si="314"/>
        <v/>
      </c>
    </row>
    <row r="1047" spans="1:11">
      <c r="A1047" s="683" t="str">
        <f>$A1018</f>
        <v>DCR Mortgage B</v>
      </c>
      <c r="B1047" s="2646" t="str">
        <f>IF(B1040=0,"",-(B1038+B1039)/B1040)</f>
        <v/>
      </c>
      <c r="C1047" s="2646" t="str">
        <f t="shared" ref="C1047:K1047" si="315">IF(C1040=0,"",-(C1038+C1039)/C1040)</f>
        <v/>
      </c>
      <c r="D1047" s="2646" t="str">
        <f t="shared" si="315"/>
        <v/>
      </c>
      <c r="E1047" s="2646" t="str">
        <f t="shared" si="315"/>
        <v/>
      </c>
      <c r="F1047" s="2646" t="str">
        <f t="shared" si="315"/>
        <v/>
      </c>
      <c r="G1047" s="2646" t="str">
        <f t="shared" si="315"/>
        <v/>
      </c>
      <c r="H1047" s="2646" t="str">
        <f t="shared" si="315"/>
        <v/>
      </c>
      <c r="I1047" s="2646" t="str">
        <f t="shared" si="315"/>
        <v/>
      </c>
      <c r="J1047" s="2646" t="str">
        <f t="shared" si="315"/>
        <v/>
      </c>
      <c r="K1047" s="2646" t="str">
        <f t="shared" si="315"/>
        <v/>
      </c>
    </row>
    <row r="1048" spans="1:11">
      <c r="A1048" s="683" t="str">
        <f>$A1019</f>
        <v>DCR Mortgage C</v>
      </c>
      <c r="B1048" s="2646" t="str">
        <f>IF(B1041=0,"",-(B1038+B1039+B1040)/B1041)</f>
        <v/>
      </c>
      <c r="C1048" s="2646" t="str">
        <f t="shared" ref="C1048:K1048" si="316">IF(C1041=0,"",-(C1038+C1039+C1040)/C1041)</f>
        <v/>
      </c>
      <c r="D1048" s="2646" t="str">
        <f t="shared" si="316"/>
        <v/>
      </c>
      <c r="E1048" s="2646" t="str">
        <f t="shared" si="316"/>
        <v/>
      </c>
      <c r="F1048" s="2646" t="str">
        <f t="shared" si="316"/>
        <v/>
      </c>
      <c r="G1048" s="2646" t="str">
        <f t="shared" si="316"/>
        <v/>
      </c>
      <c r="H1048" s="2646" t="str">
        <f t="shared" si="316"/>
        <v/>
      </c>
      <c r="I1048" s="2646" t="str">
        <f t="shared" si="316"/>
        <v/>
      </c>
      <c r="J1048" s="2646" t="str">
        <f t="shared" si="316"/>
        <v/>
      </c>
      <c r="K1048" s="2646" t="str">
        <f t="shared" si="316"/>
        <v/>
      </c>
    </row>
    <row r="1049" spans="1:11">
      <c r="A1049" s="683" t="str">
        <f>$A1020</f>
        <v>DCR Other Source</v>
      </c>
      <c r="B1049" s="2646" t="str">
        <f>IF(B1042=0,"",-(B1038+B1039+B1040+B1041)/B1042)</f>
        <v/>
      </c>
      <c r="C1049" s="2646" t="str">
        <f t="shared" ref="C1049:K1049" si="317">IF(C1042=0,"",-(C1038+C1039+C1040+C1041)/C1042)</f>
        <v/>
      </c>
      <c r="D1049" s="2646" t="str">
        <f t="shared" si="317"/>
        <v/>
      </c>
      <c r="E1049" s="2646" t="str">
        <f t="shared" si="317"/>
        <v/>
      </c>
      <c r="F1049" s="2646" t="str">
        <f t="shared" si="317"/>
        <v/>
      </c>
      <c r="G1049" s="2646" t="str">
        <f t="shared" si="317"/>
        <v/>
      </c>
      <c r="H1049" s="2646" t="str">
        <f t="shared" si="317"/>
        <v/>
      </c>
      <c r="I1049" s="2646" t="str">
        <f t="shared" si="317"/>
        <v/>
      </c>
      <c r="J1049" s="2646" t="str">
        <f t="shared" si="317"/>
        <v/>
      </c>
      <c r="K1049" s="2646" t="str">
        <f t="shared" si="317"/>
        <v/>
      </c>
    </row>
    <row r="1050" spans="1:11">
      <c r="A1050" s="683" t="s">
        <v>3739</v>
      </c>
      <c r="B1050" s="2646" t="str">
        <f>IF(AND(B1039=0,B1040=0,B1041=0,B1042=0),"",-B1038/(B1039+B1040+B1041+B1042))</f>
        <v/>
      </c>
      <c r="C1050" s="2646" t="str">
        <f t="shared" ref="C1050:K1050" si="318">IF(AND(C1039=0,C1040=0,C1041=0,C1042=0),"",-C1038/(C1039+C1040+C1041+C1042))</f>
        <v/>
      </c>
      <c r="D1050" s="2646" t="str">
        <f t="shared" si="318"/>
        <v/>
      </c>
      <c r="E1050" s="2646" t="str">
        <f t="shared" si="318"/>
        <v/>
      </c>
      <c r="F1050" s="2646" t="str">
        <f t="shared" si="318"/>
        <v/>
      </c>
      <c r="G1050" s="2646" t="str">
        <f t="shared" si="318"/>
        <v/>
      </c>
      <c r="H1050" s="2646" t="str">
        <f t="shared" si="318"/>
        <v/>
      </c>
      <c r="I1050" s="2646" t="str">
        <f t="shared" si="318"/>
        <v/>
      </c>
      <c r="J1050" s="2646" t="str">
        <f t="shared" si="318"/>
        <v/>
      </c>
      <c r="K1050" s="2646" t="str">
        <f t="shared" si="318"/>
        <v/>
      </c>
    </row>
    <row r="1051" spans="1:11">
      <c r="A1051" s="683" t="s">
        <v>778</v>
      </c>
      <c r="B1051" s="2647" t="e">
        <f>IF(OR(B1036="Choose mgt fee",B1036="Choose One!"),"",(B1030+B1031+B1032+B1033+B1034) / -(B1035+B1036+B1037))</f>
        <v>#DIV/0!</v>
      </c>
      <c r="C1051" s="2647" t="e">
        <f t="shared" ref="C1051:K1051" si="319">IF(OR(C1036="Choose mgt fee",C1036="Choose One!"),"",(C1030+C1031+C1032+C1033+C1034) / -(C1035+C1036+C1037))</f>
        <v>#DIV/0!</v>
      </c>
      <c r="D1051" s="2647" t="e">
        <f t="shared" si="319"/>
        <v>#DIV/0!</v>
      </c>
      <c r="E1051" s="2647" t="e">
        <f t="shared" si="319"/>
        <v>#DIV/0!</v>
      </c>
      <c r="F1051" s="2647" t="e">
        <f t="shared" si="319"/>
        <v>#DIV/0!</v>
      </c>
      <c r="G1051" s="2647" t="e">
        <f t="shared" si="319"/>
        <v>#DIV/0!</v>
      </c>
      <c r="H1051" s="2647" t="e">
        <f t="shared" si="319"/>
        <v>#DIV/0!</v>
      </c>
      <c r="I1051" s="2647" t="e">
        <f t="shared" si="319"/>
        <v>#DIV/0!</v>
      </c>
      <c r="J1051" s="2647" t="e">
        <f t="shared" si="319"/>
        <v>#DIV/0!</v>
      </c>
      <c r="K1051" s="2647" t="e">
        <f t="shared" si="319"/>
        <v>#DIV/0!</v>
      </c>
    </row>
    <row r="1052" spans="1:11">
      <c r="A1052" s="683" t="s">
        <v>2633</v>
      </c>
      <c r="B1052" s="2645" t="str">
        <f>'Part VII-Pro Forma'!B96</f>
        <v/>
      </c>
      <c r="C1052" s="2645" t="str">
        <f>'Part VII-Pro Forma'!C96</f>
        <v/>
      </c>
      <c r="D1052" s="2645" t="str">
        <f>'Part VII-Pro Forma'!D96</f>
        <v/>
      </c>
      <c r="E1052" s="2645" t="str">
        <f>'Part VII-Pro Forma'!E96</f>
        <v/>
      </c>
      <c r="F1052" s="2645" t="str">
        <f>'Part VII-Pro Forma'!F96</f>
        <v/>
      </c>
      <c r="G1052" s="2645" t="str">
        <f>'Part VII-Pro Forma'!G96</f>
        <v/>
      </c>
      <c r="H1052" s="2645" t="str">
        <f>'Part VII-Pro Forma'!H96</f>
        <v/>
      </c>
      <c r="I1052" s="2645" t="str">
        <f>'Part VII-Pro Forma'!I96</f>
        <v/>
      </c>
      <c r="J1052" s="2645" t="str">
        <f>'Part VII-Pro Forma'!J96</f>
        <v/>
      </c>
      <c r="K1052" s="2645" t="str">
        <f>'Part VII-Pro Forma'!K96</f>
        <v/>
      </c>
    </row>
    <row r="1053" spans="1:11">
      <c r="A1053" s="683" t="s">
        <v>2634</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2635</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2495</v>
      </c>
      <c r="B1057" s="2648">
        <f>K1029+1</f>
        <v>31</v>
      </c>
      <c r="C1057" s="2648">
        <f>B1057+1</f>
        <v>32</v>
      </c>
      <c r="D1057" s="2648">
        <f>C1057+1</f>
        <v>33</v>
      </c>
      <c r="E1057" s="2648">
        <f>D1057+1</f>
        <v>34</v>
      </c>
      <c r="F1057" s="2648">
        <f>E1057+1</f>
        <v>35</v>
      </c>
      <c r="G1057" s="2645"/>
      <c r="H1057" s="2645"/>
      <c r="I1057" s="2645"/>
      <c r="J1057" s="2645"/>
      <c r="K1057" s="2645"/>
    </row>
    <row r="1058" spans="1:11">
      <c r="A1058" s="683" t="s">
        <v>2419</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2420</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0</v>
      </c>
      <c r="C1067" s="2645">
        <f>'Part VII-Pro Forma'!C111</f>
        <v>0</v>
      </c>
      <c r="D1067" s="2645">
        <f>'Part VII-Pro Forma'!D111</f>
        <v>0</v>
      </c>
      <c r="E1067" s="2645">
        <f>'Part VII-Pro Forma'!E111</f>
        <v>0</v>
      </c>
      <c r="F1067" s="2645">
        <f>'Part VII-Pro Forma'!F111</f>
        <v>0</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-5000</v>
      </c>
      <c r="C1072" s="2645">
        <f>'Part VII-Pro Forma'!C116</f>
        <v>-5000</v>
      </c>
      <c r="D1072" s="2645">
        <f>'Part VII-Pro Forma'!D116</f>
        <v>-5000</v>
      </c>
      <c r="E1072" s="2645">
        <f>'Part VII-Pro Forma'!E116</f>
        <v>-5000</v>
      </c>
      <c r="F1072" s="2645">
        <f>'Part VII-Pro Forma'!F116</f>
        <v>-5000</v>
      </c>
      <c r="G1072" s="2645"/>
      <c r="H1072" s="2645"/>
      <c r="I1072" s="2645"/>
      <c r="J1072" s="2645"/>
      <c r="K1072" s="2645"/>
    </row>
    <row r="1073" spans="1:11">
      <c r="A1073" s="683" t="s">
        <v>1175</v>
      </c>
      <c r="B1073" s="2645">
        <f>SUM(B1066:B1072)</f>
        <v>-5000</v>
      </c>
      <c r="C1073" s="2645">
        <f>SUM(C1066:C1072)</f>
        <v>-5000</v>
      </c>
      <c r="D1073" s="2645">
        <f>SUM(D1066:D1072)</f>
        <v>-5000</v>
      </c>
      <c r="E1073" s="2645">
        <f>SUM(E1066:E1072)</f>
        <v>-5000</v>
      </c>
      <c r="F1073" s="2645">
        <f>SUM(F1066:F1072)</f>
        <v>-5000</v>
      </c>
      <c r="G1073" s="2645"/>
      <c r="H1073" s="2645"/>
      <c r="I1073" s="2645"/>
      <c r="J1073" s="2645"/>
      <c r="K1073" s="2645"/>
    </row>
    <row r="1074" spans="1:11">
      <c r="A1074" s="683" t="str">
        <f>$A1046</f>
        <v>DCR Mortgage A</v>
      </c>
      <c r="B1074" s="2646" t="str">
        <f>IF(B1067=0,"",-B1066/B1067)</f>
        <v/>
      </c>
      <c r="C1074" s="2646" t="str">
        <f>IF(C1067=0,"",-C1066/C1067)</f>
        <v/>
      </c>
      <c r="D1074" s="2646" t="str">
        <f>IF(D1067=0,"",-D1066/D1067)</f>
        <v/>
      </c>
      <c r="E1074" s="2646" t="str">
        <f>IF(E1067=0,"",-E1066/E1067)</f>
        <v/>
      </c>
      <c r="F1074" s="2646" t="str">
        <f>IF(F1067=0,"",-F1066/F1067)</f>
        <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3739</v>
      </c>
      <c r="B1078" s="2646" t="str">
        <f>IF(AND(B1067=0,B1068=0,B1069=0,B1070=0),"",-B1066/(B1067+B1068+B1069+B1070))</f>
        <v/>
      </c>
      <c r="C1078" s="2646" t="str">
        <f>IF(AND(C1067=0,C1068=0,C1069=0,C1070=0),"",-C1066/(C1067+C1068+C1069+C1070))</f>
        <v/>
      </c>
      <c r="D1078" s="2646" t="str">
        <f>IF(AND(D1067=0,D1068=0,D1069=0,D1070=0),"",-D1066/(D1067+D1068+D1069+D1070))</f>
        <v/>
      </c>
      <c r="E1078" s="2646" t="str">
        <f>IF(AND(E1067=0,E1068=0,E1069=0,E1070=0),"",-E1066/(E1067+E1068+E1069+E1070))</f>
        <v/>
      </c>
      <c r="F1078" s="2646" t="str">
        <f>IF(AND(F1067=0,F1068=0,F1069=0,F1070=0),"",-F1066/(F1067+F1068+F1069+F1070))</f>
        <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2633</v>
      </c>
      <c r="B1080" s="2645" t="str">
        <f>'Part VII-Pro Forma'!B124</f>
        <v/>
      </c>
      <c r="C1080" s="2645" t="str">
        <f>'Part VII-Pro Forma'!C124</f>
        <v/>
      </c>
      <c r="D1080" s="2645" t="str">
        <f>'Part VII-Pro Forma'!D124</f>
        <v/>
      </c>
      <c r="E1080" s="2645" t="str">
        <f>'Part VII-Pro Forma'!E124</f>
        <v/>
      </c>
      <c r="F1080" s="2645" t="str">
        <f>'Part VII-Pro Forma'!F124</f>
        <v/>
      </c>
      <c r="G1080" s="2645"/>
      <c r="H1080" s="2645"/>
      <c r="I1080" s="2645"/>
      <c r="J1080" s="2645"/>
      <c r="K1080" s="2645"/>
    </row>
    <row r="1081" spans="1:11">
      <c r="A1081" s="683" t="s">
        <v>2634</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2635</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2018-030 Sparrow Pointe at Forest Hill,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1856</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4757</v>
      </c>
      <c r="K1100" s="2652"/>
      <c r="L1100" s="2652"/>
      <c r="M1100" s="2652"/>
      <c r="N1100" s="2652"/>
      <c r="O1100" s="2652"/>
      <c r="P1100" s="2653">
        <f>'Part VIII-Threshold Criteria'!P6</f>
        <v>0</v>
      </c>
      <c r="Q1100" s="2653">
        <f>'Part VIII-Threshold Criteria'!Q6</f>
        <v>0</v>
      </c>
    </row>
    <row r="1101" spans="1:17">
      <c r="A1101" s="2654" t="s">
        <v>3471</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2667</v>
      </c>
      <c r="C1123" s="2657"/>
      <c r="D1123" s="2658"/>
      <c r="E1123" s="2658"/>
      <c r="F1123" s="2658"/>
      <c r="G1123" s="2658"/>
      <c r="I1123" s="2659"/>
      <c r="J1123" s="2659"/>
      <c r="K1123" s="2659"/>
      <c r="L1123" s="2561"/>
      <c r="M1123" s="2561"/>
      <c r="O1123" s="2660" t="s">
        <v>1880</v>
      </c>
      <c r="P1123" s="2569">
        <f>'Part VIII-Threshold Criteria'!P29</f>
        <v>0</v>
      </c>
      <c r="Q1123" s="2569">
        <f>'Part VIII-Threshold Criteria'!Q29</f>
        <v>0</v>
      </c>
    </row>
    <row r="1125" spans="1:17">
      <c r="B1125" s="2625" t="s">
        <v>3779</v>
      </c>
      <c r="C1125" s="2625"/>
      <c r="D1125" s="2625"/>
      <c r="E1125" s="2625"/>
      <c r="F1125" s="2625"/>
      <c r="G1125" s="2659"/>
      <c r="H1125" s="2659"/>
      <c r="I1125" s="2659"/>
      <c r="J1125" s="2659"/>
      <c r="K1125" s="2561"/>
      <c r="L1125" s="2561"/>
      <c r="M1125" s="2561"/>
      <c r="N1125" s="2561"/>
      <c r="O1125" s="2561"/>
      <c r="P1125" s="2561"/>
    </row>
    <row r="1126" spans="1:17" ht="123.75">
      <c r="A1126" s="2661" t="str">
        <f>'Part VIII-Threshold Criteria'!A32</f>
        <v>QAP defined Residential Square Footages: 1BR = 873 sq ft, 2BR = 1,122 sq ft, 3BR = 1,429 sq ft, Total = 60,746 sq ft</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1879</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2728</v>
      </c>
      <c r="C1130" s="2543"/>
      <c r="D1130" s="2543"/>
      <c r="E1130" s="2664"/>
      <c r="G1130" s="2569"/>
      <c r="H1130" s="2569"/>
      <c r="I1130" s="2569"/>
      <c r="J1130" s="2354"/>
      <c r="L1130" s="2665"/>
      <c r="M1130" s="2665"/>
      <c r="N1130" s="2665"/>
      <c r="O1130" s="2660" t="s">
        <v>1880</v>
      </c>
      <c r="P1130" s="2569">
        <f>'Part VIII-Threshold Criteria'!P36</f>
        <v>0</v>
      </c>
      <c r="Q1130" s="2569">
        <f>'Part VIII-Threshold Criteria'!Q36</f>
        <v>0</v>
      </c>
    </row>
    <row r="1131" spans="1:17" ht="12.75" customHeight="1">
      <c r="A1131" s="2666" t="s">
        <v>4758</v>
      </c>
      <c r="B1131" s="2666"/>
      <c r="C1131" s="2666"/>
      <c r="D1131" s="2666"/>
      <c r="E1131" s="2666"/>
      <c r="F1131" s="2666"/>
      <c r="G1131" s="2473" t="s">
        <v>2732</v>
      </c>
      <c r="H1131" s="2473"/>
      <c r="I1131" s="2658"/>
      <c r="J1131" s="2354"/>
      <c r="K1131" s="2658" t="s">
        <v>3659</v>
      </c>
      <c r="L1131" s="2658"/>
      <c r="M1131" s="2658"/>
      <c r="N1131" s="2658"/>
    </row>
    <row r="1132" spans="1:17" ht="13.5">
      <c r="A1132" s="2666"/>
      <c r="B1132" s="2666"/>
      <c r="C1132" s="2666"/>
      <c r="D1132" s="2666"/>
      <c r="E1132" s="2666"/>
      <c r="F1132" s="2666"/>
      <c r="G1132" s="2473" t="s">
        <v>348</v>
      </c>
      <c r="H1132" s="2473"/>
      <c r="I1132" s="2658"/>
      <c r="J1132" s="2354"/>
      <c r="K1132" s="478" t="s">
        <v>3660</v>
      </c>
      <c r="L1132" s="478"/>
      <c r="M1132" s="478"/>
      <c r="N1132" s="478"/>
      <c r="P1132" s="2486" t="s">
        <v>2752</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2731</v>
      </c>
      <c r="F1134" s="2669" t="s">
        <v>3474</v>
      </c>
      <c r="G1134" s="2669" t="s">
        <v>3473</v>
      </c>
      <c r="H1134" s="2669"/>
      <c r="I1134" s="2669"/>
      <c r="K1134" s="2669" t="s">
        <v>3474</v>
      </c>
      <c r="L1134" s="2669" t="s">
        <v>3473</v>
      </c>
      <c r="M1134" s="2669"/>
      <c r="N1134" s="2669"/>
    </row>
    <row r="1135" spans="1:17" ht="12.75" customHeight="1">
      <c r="A1135" s="2670" t="s">
        <v>3378</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3921</v>
      </c>
      <c r="Q1135" s="2557"/>
    </row>
    <row r="1136" spans="1:17" ht="12.75" customHeight="1">
      <c r="A1136" s="2670"/>
      <c r="B1136" s="2670"/>
      <c r="C1136" s="2670"/>
      <c r="D1136" s="2671" t="s">
        <v>2455</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Albany</v>
      </c>
      <c r="Q1136" s="2675">
        <f>'Part VIII-Threshold Criteria'!Q42</f>
        <v>0</v>
      </c>
    </row>
    <row r="1137" spans="1:17">
      <c r="A1137" s="2670"/>
      <c r="B1137" s="2670"/>
      <c r="C1137" s="2670"/>
      <c r="D1137" s="2671" t="s">
        <v>2456</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2457</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3656</v>
      </c>
      <c r="Q1138" s="2626"/>
    </row>
    <row r="1139" spans="1:17" ht="12.75" customHeight="1">
      <c r="C1139" s="2354"/>
      <c r="D1139" s="2671" t="s">
        <v>2458</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10134678</v>
      </c>
      <c r="Q1139" s="2676">
        <f>'Part VIII-Threshold Criteria'!Q45</f>
        <v>0</v>
      </c>
    </row>
    <row r="1140" spans="1:17" ht="12.75" customHeight="1">
      <c r="C1140" s="2354"/>
      <c r="D1140" s="2677" t="s">
        <v>3388</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3373</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4132</v>
      </c>
      <c r="Q1142" s="2517"/>
    </row>
    <row r="1143" spans="1:17" ht="12.75" customHeight="1">
      <c r="A1143" s="2670"/>
      <c r="B1143" s="2670"/>
      <c r="C1143" s="2670"/>
      <c r="D1143" s="2671" t="s">
        <v>2455</v>
      </c>
      <c r="E1143" s="2659">
        <v>1</v>
      </c>
      <c r="F1143" s="2672">
        <f>'Part VI-Revenues &amp; Expenses'!$K$106</f>
        <v>6</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6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2456</v>
      </c>
      <c r="E1144" s="2659">
        <v>2</v>
      </c>
      <c r="F1144" s="2672">
        <f>'Part VI-Revenues &amp; Expenses'!$L$106</f>
        <v>24</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24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2457</v>
      </c>
      <c r="E1145" s="2659">
        <v>3</v>
      </c>
      <c r="F1145" s="2672">
        <f>'Part VI-Revenues &amp; Expenses'!$M$106</f>
        <v>20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20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2458</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3654</v>
      </c>
      <c r="Q1146" s="478"/>
    </row>
    <row r="1147" spans="1:17">
      <c r="C1147" s="2354"/>
      <c r="D1147" s="2677" t="s">
        <v>3388</v>
      </c>
      <c r="E1147" s="2678"/>
      <c r="F1147" s="2679">
        <f>SUM(F1142:F1146)</f>
        <v>50</v>
      </c>
      <c r="G1147" s="2680"/>
      <c r="H1147" s="2681"/>
      <c r="I1147" s="2682" t="e">
        <f>SUM(I1142:I1146)</f>
        <v>#N/A</v>
      </c>
      <c r="J1147" s="2683"/>
      <c r="K1147" s="2679">
        <f>SUM(K1142:K1146)</f>
        <v>0</v>
      </c>
      <c r="L1147" s="2683"/>
      <c r="M1147" s="2681"/>
      <c r="N1147" s="2682" t="e">
        <f>SUM(N1142:N1146)</f>
        <v>#N/A</v>
      </c>
      <c r="O1147" s="2688"/>
      <c r="P1147" s="2570" t="s">
        <v>3265</v>
      </c>
      <c r="Q1147" s="2570" t="s">
        <v>258</v>
      </c>
    </row>
    <row r="1148" spans="1:17">
      <c r="C1148" s="2354"/>
      <c r="D1148" s="2684"/>
      <c r="E1148" s="2684"/>
      <c r="F1148" s="2685"/>
      <c r="G1148" s="2686"/>
      <c r="I1148" s="2685"/>
      <c r="K1148" s="2685"/>
      <c r="M1148" s="2664"/>
      <c r="N1148" s="2685"/>
      <c r="O1148" s="2688"/>
    </row>
    <row r="1149" spans="1:17">
      <c r="A1149" s="2473" t="s">
        <v>3374</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2455</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3655</v>
      </c>
      <c r="Q1150" s="478"/>
    </row>
    <row r="1151" spans="1:17">
      <c r="C1151" s="2354"/>
      <c r="D1151" s="2671" t="s">
        <v>2456</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3265</v>
      </c>
      <c r="Q1151" s="2570" t="s">
        <v>258</v>
      </c>
    </row>
    <row r="1152" spans="1:17">
      <c r="C1152" s="2354"/>
      <c r="D1152" s="2671" t="s">
        <v>2457</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2458</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2787</v>
      </c>
      <c r="Q1153" s="2690"/>
    </row>
    <row r="1154" spans="1:17" ht="12.75" customHeight="1">
      <c r="C1154" s="2354"/>
      <c r="D1154" s="2677" t="s">
        <v>3388</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3375</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2455</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10137572</v>
      </c>
      <c r="Q1157" s="2691">
        <f>'Part VIII-Threshold Criteria'!Q63</f>
        <v>0</v>
      </c>
    </row>
    <row r="1158" spans="1:17" ht="12.75" customHeight="1">
      <c r="C1158" s="2354"/>
      <c r="D1158" s="2671" t="s">
        <v>2456</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2457</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4547</v>
      </c>
      <c r="Q1159" s="2652"/>
    </row>
    <row r="1160" spans="1:17">
      <c r="C1160" s="2354"/>
      <c r="D1160" s="2671" t="s">
        <v>2458</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3388</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3389</v>
      </c>
      <c r="B1163" s="2354"/>
      <c r="C1163" s="2354"/>
      <c r="D1163" s="2354"/>
      <c r="E1163" s="2555"/>
      <c r="F1163" s="2695">
        <f>F1140+F1147+F1154+F1161</f>
        <v>50</v>
      </c>
      <c r="G1163" s="2420"/>
      <c r="H1163" s="2696">
        <f>'Part VIII-Threshold Criteria'!H69</f>
        <v>10137572</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3779</v>
      </c>
      <c r="D1164" s="2598"/>
      <c r="E1164" s="2598"/>
      <c r="F1164" s="2598"/>
      <c r="G1164" s="2598"/>
      <c r="H1164" s="2597"/>
      <c r="I1164" s="2659"/>
      <c r="J1164" s="2659"/>
      <c r="K1164" s="2662" t="s">
        <v>1879</v>
      </c>
      <c r="L1164" s="2561"/>
      <c r="M1164" s="2561"/>
      <c r="N1164" s="2561"/>
      <c r="O1164" s="2561"/>
      <c r="P1164" s="2561"/>
      <c r="Q1164" s="2561"/>
    </row>
    <row r="1165" spans="1:17" ht="33.75">
      <c r="A1165" s="2661" t="str">
        <f>'Part VIII-Threshold Criteria'!A71</f>
        <v>Applicant meets the cost limits.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1880</v>
      </c>
      <c r="P1167" s="2569">
        <f>'Part VIII-Threshold Criteria'!P73</f>
        <v>0</v>
      </c>
      <c r="Q1167" s="2569">
        <f>'Part VIII-Threshold Criteria'!Q73</f>
        <v>0</v>
      </c>
    </row>
    <row r="1168" spans="1:17">
      <c r="B1168" s="2598" t="s">
        <v>3779</v>
      </c>
      <c r="D1168" s="2598"/>
      <c r="E1168" s="2598"/>
      <c r="F1168" s="2598"/>
      <c r="G1168" s="2598"/>
      <c r="H1168" s="2597"/>
      <c r="I1168" s="2659"/>
      <c r="J1168" s="2659"/>
      <c r="K1168" s="2662" t="s">
        <v>1879</v>
      </c>
      <c r="L1168" s="2561"/>
      <c r="M1168" s="2561"/>
      <c r="N1168" s="2561"/>
      <c r="O1168" s="2561"/>
      <c r="P1168" s="2561"/>
      <c r="Q1168" s="2561"/>
    </row>
    <row r="1169" spans="1:17" ht="33.75">
      <c r="A1169" s="2661" t="str">
        <f>'Part VIII-Threshold Criteria'!A75</f>
        <v>Applicant has a Family designation.</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2668</v>
      </c>
      <c r="C1171" s="2694"/>
      <c r="D1171" s="2664"/>
      <c r="E1171" s="2664"/>
      <c r="F1171" s="2664"/>
      <c r="G1171" s="2664"/>
      <c r="H1171" s="2664"/>
      <c r="I1171" s="2664"/>
      <c r="J1171" s="2664"/>
      <c r="K1171" s="2664"/>
      <c r="L1171" s="2664"/>
      <c r="M1171" s="2664"/>
      <c r="O1171" s="2660" t="s">
        <v>1880</v>
      </c>
      <c r="P1171" s="2569">
        <f>'Part VIII-Threshold Criteria'!P77</f>
        <v>0</v>
      </c>
      <c r="Q1171" s="2569">
        <f>'Part VIII-Threshold Criteria'!Q77</f>
        <v>0</v>
      </c>
    </row>
    <row r="1173" spans="1:17">
      <c r="A1173" s="2698" t="s">
        <v>1998</v>
      </c>
      <c r="B1173" s="2686" t="s">
        <v>3769</v>
      </c>
      <c r="D1173" s="2686"/>
      <c r="E1173" s="2686"/>
      <c r="F1173" s="2686"/>
      <c r="G1173" s="2686"/>
      <c r="H1173" s="2686"/>
      <c r="I1173" s="2686"/>
      <c r="K1173" s="2686"/>
      <c r="L1173" s="2686"/>
      <c r="M1173" s="2699" t="s">
        <v>3722</v>
      </c>
      <c r="O1173" s="2661"/>
      <c r="P1173" s="2667" t="str">
        <f>'Part VIII-Threshold Criteria'!P79</f>
        <v>Agree</v>
      </c>
    </row>
    <row r="1174" spans="1:17">
      <c r="A1174" s="2700" t="s">
        <v>2000</v>
      </c>
      <c r="B1174" s="2597" t="s">
        <v>3768</v>
      </c>
      <c r="D1174" s="2597"/>
      <c r="E1174" s="2597"/>
      <c r="F1174" s="2597"/>
      <c r="G1174" s="2597"/>
      <c r="H1174" s="2597"/>
      <c r="I1174" s="2597"/>
      <c r="J1174" s="2597"/>
      <c r="K1174" s="2597"/>
      <c r="L1174" s="2597"/>
      <c r="M1174" s="2597"/>
      <c r="O1174" s="2597"/>
      <c r="P1174" s="2597"/>
      <c r="Q1174" s="2597"/>
    </row>
    <row r="1175" spans="1:17" ht="45">
      <c r="A1175" s="2701"/>
      <c r="B1175" s="2702" t="s">
        <v>1750</v>
      </c>
      <c r="C1175" s="2597" t="s">
        <v>3506</v>
      </c>
      <c r="E1175" s="2591"/>
      <c r="F1175" s="2591"/>
      <c r="G1175" s="2591"/>
      <c r="H1175" s="2354"/>
      <c r="I1175" s="478" t="s">
        <v>2722</v>
      </c>
      <c r="J1175" s="2703" t="str">
        <f>'Part VIII-Threshold Criteria'!J81</f>
        <v>Holiday and semi-monthly birthday parties, pot luck dinners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33.75">
      <c r="A1176" s="2701"/>
      <c r="B1176" s="2702" t="s">
        <v>1751</v>
      </c>
      <c r="C1176" s="2597" t="s">
        <v>3604</v>
      </c>
      <c r="E1176" s="2591"/>
      <c r="F1176" s="2591"/>
      <c r="G1176" s="2591"/>
      <c r="H1176" s="2354"/>
      <c r="I1176" s="478" t="s">
        <v>2722</v>
      </c>
      <c r="J1176" s="2703" t="str">
        <f>'Part VIII-Threshold Criteria'!J82</f>
        <v>Computer training, aerobics classes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c r="A1177" s="2701"/>
      <c r="B1177" s="2702" t="s">
        <v>1752</v>
      </c>
      <c r="C1177" s="2597" t="s">
        <v>3605</v>
      </c>
      <c r="E1177" s="2591"/>
      <c r="F1177" s="2591"/>
      <c r="G1177" s="2591"/>
      <c r="H1177" s="2354"/>
      <c r="I1177" s="478" t="s">
        <v>2722</v>
      </c>
      <c r="J1177" s="2703">
        <f>'Part VIII-Threshold Criteria'!J83</f>
        <v>0</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2380</v>
      </c>
      <c r="C1178" s="2597" t="s">
        <v>3932</v>
      </c>
      <c r="E1178" s="2591"/>
      <c r="I1178" s="478" t="s">
        <v>2722</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3923</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3779</v>
      </c>
      <c r="D1181" s="2598"/>
      <c r="E1181" s="2598"/>
      <c r="F1181" s="2598"/>
      <c r="G1181" s="2598"/>
      <c r="H1181" s="2597"/>
      <c r="I1181" s="2659"/>
      <c r="J1181" s="2659"/>
      <c r="K1181" s="2662" t="s">
        <v>1879</v>
      </c>
      <c r="L1181" s="2561"/>
      <c r="M1181" s="2561"/>
      <c r="N1181" s="2561"/>
      <c r="O1181" s="2561"/>
      <c r="P1181" s="2561"/>
      <c r="Q1181" s="2561"/>
    </row>
    <row r="1182" spans="1:17" ht="101.25">
      <c r="A1182" s="2661" t="str">
        <f>'Part VIII-Threshold Criteria'!A88</f>
        <v>Applicant agrees to provide social and recreational programs and on site enrichment classes</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2669</v>
      </c>
      <c r="C1184" s="2544"/>
      <c r="D1184" s="2664"/>
      <c r="E1184" s="2664"/>
      <c r="F1184" s="2664"/>
      <c r="G1184" s="2664"/>
      <c r="H1184" s="2664"/>
      <c r="I1184" s="2664"/>
      <c r="J1184" s="2664"/>
      <c r="K1184" s="2664"/>
      <c r="O1184" s="2660" t="s">
        <v>1880</v>
      </c>
      <c r="P1184" s="2569">
        <f>'Part VIII-Threshold Criteria'!P90</f>
        <v>0</v>
      </c>
      <c r="Q1184" s="2569">
        <f>'Part VIII-Threshold Criteria'!Q90</f>
        <v>0</v>
      </c>
    </row>
    <row r="1186" spans="1:17">
      <c r="A1186" s="2700" t="s">
        <v>1998</v>
      </c>
      <c r="B1186" s="1156" t="s">
        <v>2475</v>
      </c>
      <c r="D1186" s="2626"/>
      <c r="E1186" s="2626"/>
      <c r="F1186" s="2626"/>
      <c r="G1186" s="2626"/>
      <c r="H1186" s="2626"/>
      <c r="I1186" s="2354"/>
      <c r="J1186" s="2354"/>
      <c r="K1186" s="2354"/>
      <c r="L1186" s="2702" t="s">
        <v>1998</v>
      </c>
      <c r="M1186" s="2658" t="str">
        <f>'Part VIII-Threshold Criteria'!M92</f>
        <v>Novogradac &amp; Company, LLP</v>
      </c>
      <c r="N1186" s="2658">
        <f>'Part VIII-Threshold Criteria'!N92</f>
        <v>0</v>
      </c>
      <c r="O1186" s="2658">
        <f>'Part VIII-Threshold Criteria'!O92</f>
        <v>0</v>
      </c>
      <c r="P1186" s="2354">
        <f>'Part VIII-Threshold Criteria'!P92</f>
        <v>0</v>
      </c>
      <c r="Q1186" s="2667">
        <f>'Part VIII-Threshold Criteria'!Q92</f>
        <v>0</v>
      </c>
    </row>
    <row r="1187" spans="1:17">
      <c r="A1187" s="2700" t="s">
        <v>2000</v>
      </c>
      <c r="B1187" s="478" t="s">
        <v>2051</v>
      </c>
      <c r="D1187" s="2626"/>
      <c r="E1187" s="2626"/>
      <c r="F1187" s="2626"/>
      <c r="L1187" s="2702" t="s">
        <v>2000</v>
      </c>
      <c r="M1187" s="2658" t="str">
        <f>'Part VIII-Threshold Criteria'!M93</f>
        <v>Two to Three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2896</v>
      </c>
      <c r="D1188" s="2626"/>
      <c r="E1188" s="2626"/>
      <c r="F1188" s="2626"/>
      <c r="L1188" s="2702" t="s">
        <v>757</v>
      </c>
      <c r="M1188" s="2704">
        <f>'Part VIII-Threshold Criteria'!M94</f>
        <v>0.98299999999999998</v>
      </c>
      <c r="N1188" s="2704">
        <f>'Part VIII-Threshold Criteria'!N94</f>
        <v>0</v>
      </c>
      <c r="O1188" s="2704">
        <f>'Part VIII-Threshold Criteria'!O94</f>
        <v>0</v>
      </c>
      <c r="P1188" s="2705">
        <f>'Part VIII-Threshold Criteria'!P94</f>
        <v>0</v>
      </c>
      <c r="Q1188" s="2667">
        <f>'Part VIII-Threshold Criteria'!Q94</f>
        <v>0</v>
      </c>
    </row>
    <row r="1189" spans="1:17">
      <c r="A1189" s="2700" t="s">
        <v>2130</v>
      </c>
      <c r="B1189" s="478" t="s">
        <v>3925</v>
      </c>
      <c r="D1189" s="2626"/>
      <c r="E1189" s="2626"/>
      <c r="F1189" s="2626"/>
      <c r="L1189" s="2702" t="s">
        <v>3926</v>
      </c>
      <c r="M1189" s="2706">
        <f>'Part VIII-Threshold Criteria'!M95</f>
        <v>6.2E-2</v>
      </c>
      <c r="N1189" s="2704"/>
      <c r="O1189" s="2707" t="s">
        <v>4175</v>
      </c>
      <c r="P1189" s="2708" t="str">
        <f>'Part VIII-Threshold Criteria'!P95</f>
        <v>N/A</v>
      </c>
      <c r="Q1189" s="2667">
        <f>'Part VIII-Threshold Criteria'!Q95</f>
        <v>0</v>
      </c>
    </row>
    <row r="1190" spans="1:17">
      <c r="A1190" s="2698" t="s">
        <v>1748</v>
      </c>
      <c r="B1190" s="2686" t="s">
        <v>3924</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2393</v>
      </c>
      <c r="E1191" s="2597" t="s">
        <v>623</v>
      </c>
      <c r="F1191" s="2597"/>
      <c r="H1191" s="478"/>
      <c r="I1191" s="2659" t="s">
        <v>2393</v>
      </c>
      <c r="J1191" s="2597" t="s">
        <v>623</v>
      </c>
      <c r="K1191" s="2597"/>
      <c r="M1191" s="478"/>
      <c r="N1191" s="2659" t="s">
        <v>2393</v>
      </c>
      <c r="O1191" s="2597" t="s">
        <v>623</v>
      </c>
      <c r="P1191" s="2597"/>
      <c r="Q1191" s="2702"/>
    </row>
    <row r="1192" spans="1:17">
      <c r="C1192" s="2702" t="s">
        <v>1750</v>
      </c>
      <c r="D1192" s="2667" t="str">
        <f>'Part VIII-Threshold Criteria'!D98</f>
        <v>2012-030</v>
      </c>
      <c r="E1192" s="2658" t="str">
        <f>'Part VIII-Threshold Criteria'!E98</f>
        <v>Tallokas Pointe Apartments</v>
      </c>
      <c r="F1192" s="2658">
        <f>'Part VIII-Threshold Criteria'!F98</f>
        <v>0</v>
      </c>
      <c r="G1192" s="2658">
        <f>'Part VIII-Threshold Criteria'!G98</f>
        <v>0</v>
      </c>
      <c r="H1192" s="2702" t="s">
        <v>1752</v>
      </c>
      <c r="I1192" s="2667" t="str">
        <f>'Part VIII-Threshold Criteria'!I98</f>
        <v>2004-019</v>
      </c>
      <c r="J1192" s="2658" t="str">
        <f>'Part VIII-Threshold Criteria'!J98</f>
        <v>Antigua Place</v>
      </c>
      <c r="K1192" s="2658">
        <f>'Part VIII-Threshold Criteria'!K98</f>
        <v>0</v>
      </c>
      <c r="L1192" s="2658">
        <f>'Part VIII-Threshold Criteria'!L98</f>
        <v>0</v>
      </c>
      <c r="M1192" s="2702" t="s">
        <v>1561</v>
      </c>
      <c r="N1192" s="2667">
        <f>'Part VIII-Threshold Criteria'!N98</f>
        <v>0</v>
      </c>
      <c r="O1192" s="2658">
        <f>'Part VIII-Threshold Criteria'!O98</f>
        <v>0</v>
      </c>
      <c r="P1192" s="2658">
        <f>'Part VIII-Threshold Criteria'!P98</f>
        <v>0</v>
      </c>
      <c r="Q1192" s="2658">
        <f>'Part VIII-Threshold Criteria'!Q98</f>
        <v>0</v>
      </c>
    </row>
    <row r="1193" spans="1:17">
      <c r="C1193" s="2702" t="s">
        <v>1751</v>
      </c>
      <c r="D1193" s="2667" t="str">
        <f>'Part VIII-Threshold Criteria'!D99</f>
        <v>2008-009</v>
      </c>
      <c r="E1193" s="2658" t="str">
        <f>'Part VIII-Threshold Criteria'!E99</f>
        <v>Antigua Place, Phase II</v>
      </c>
      <c r="F1193" s="2658">
        <f>'Part VIII-Threshold Criteria'!F99</f>
        <v>0</v>
      </c>
      <c r="G1193" s="2658">
        <f>'Part VIII-Threshold Criteria'!G99</f>
        <v>0</v>
      </c>
      <c r="H1193" s="2702" t="s">
        <v>2380</v>
      </c>
      <c r="I1193" s="2667">
        <f>'Part VIII-Threshold Criteria'!I99</f>
        <v>0</v>
      </c>
      <c r="J1193" s="2658">
        <f>'Part VIII-Threshold Criteria'!J99</f>
        <v>0</v>
      </c>
      <c r="K1193" s="2658">
        <f>'Part VIII-Threshold Criteria'!K99</f>
        <v>0</v>
      </c>
      <c r="L1193" s="2658">
        <f>'Part VIII-Threshold Criteria'!L99</f>
        <v>0</v>
      </c>
      <c r="M1193" s="2702" t="s">
        <v>1562</v>
      </c>
      <c r="N1193" s="2667">
        <f>'Part VIII-Threshold Criteria'!N99</f>
        <v>0</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2526</v>
      </c>
    </row>
    <row r="1196" spans="1:17" ht="12.75" customHeight="1">
      <c r="A1196" s="2698" t="s">
        <v>1961</v>
      </c>
      <c r="B1196" s="2661" t="s">
        <v>3637</v>
      </c>
      <c r="C1196" s="2661"/>
      <c r="D1196" s="2661"/>
      <c r="E1196" s="2661"/>
      <c r="F1196" s="2661"/>
      <c r="G1196" s="2661"/>
      <c r="H1196" s="2661"/>
      <c r="I1196" s="2661"/>
      <c r="J1196" s="2661"/>
      <c r="K1196" s="2661"/>
      <c r="L1196" s="2661"/>
      <c r="M1196" s="2661"/>
      <c r="N1196" s="2661"/>
      <c r="O1196" s="2661"/>
      <c r="P1196" s="2712" t="s">
        <v>1961</v>
      </c>
      <c r="Q1196" s="2713">
        <f>'Part VIII-Threshold Criteria'!Q102</f>
        <v>0</v>
      </c>
    </row>
    <row r="1197" spans="1:17" ht="12.75" customHeight="1">
      <c r="A1197" s="2698" t="s">
        <v>3390</v>
      </c>
      <c r="B1197" s="2661" t="s">
        <v>2747</v>
      </c>
      <c r="C1197" s="2661"/>
      <c r="D1197" s="2661"/>
      <c r="E1197" s="2661"/>
      <c r="F1197" s="2661"/>
      <c r="G1197" s="2661"/>
      <c r="H1197" s="2661"/>
      <c r="I1197" s="2661"/>
      <c r="J1197" s="2661"/>
      <c r="K1197" s="2661"/>
      <c r="L1197" s="2661"/>
      <c r="M1197" s="2661"/>
      <c r="N1197" s="2661"/>
      <c r="O1197" s="2661"/>
      <c r="P1197" s="2712" t="s">
        <v>3390</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3391</v>
      </c>
      <c r="B1199" s="2686" t="s">
        <v>3638</v>
      </c>
      <c r="C1199" s="2678"/>
      <c r="D1199" s="2678"/>
      <c r="E1199" s="2678"/>
      <c r="F1199" s="2678"/>
      <c r="G1199" s="2678"/>
      <c r="H1199" s="2678"/>
      <c r="I1199" s="2678"/>
      <c r="J1199" s="2678"/>
      <c r="K1199" s="2678"/>
      <c r="L1199" s="2714"/>
      <c r="M1199" s="2678"/>
      <c r="N1199" s="2710"/>
      <c r="O1199" s="2678"/>
      <c r="P1199" s="2702" t="s">
        <v>3391</v>
      </c>
      <c r="Q1199" s="2713">
        <f>'Part VIII-Threshold Criteria'!Q105</f>
        <v>0</v>
      </c>
    </row>
    <row r="1200" spans="1:17">
      <c r="B1200" s="2598" t="s">
        <v>3779</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Please see Tab 5 for the market study indicating the demand for affordable housing in the market area. The LIHTC comparables are experiencing a weighted average vacancy rate of only 1.4% and are currently maintaing lengthy waiting lists. Additionally, the market analyst has determined an overall capture rate of only 6.2% further justifying the significant demand for affordable rental housing in Moultrie. Tallokas Pointe Apartments is located outside the city limits of Moultrie and Antigua Place Phase I &amp; II are of senior tenancy.</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1879</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2670</v>
      </c>
      <c r="C1204" s="2544"/>
      <c r="D1204" s="2664"/>
      <c r="E1204" s="2664"/>
      <c r="F1204" s="2664"/>
      <c r="G1204" s="2664"/>
      <c r="H1204" s="2664"/>
      <c r="I1204" s="2664"/>
      <c r="J1204" s="2664"/>
      <c r="K1204" s="2664"/>
      <c r="L1204" s="2664"/>
      <c r="M1204" s="2664"/>
      <c r="O1204" s="2660" t="s">
        <v>1880</v>
      </c>
      <c r="P1204" s="2569">
        <f>'Part VIII-Threshold Criteria'!P110</f>
        <v>0</v>
      </c>
      <c r="Q1204" s="2569">
        <f>'Part VIII-Threshold Criteria'!Q110</f>
        <v>0</v>
      </c>
    </row>
    <row r="1206" spans="1:17">
      <c r="A1206" s="2700" t="s">
        <v>1998</v>
      </c>
      <c r="B1206" s="478" t="s">
        <v>498</v>
      </c>
      <c r="C1206" s="478"/>
      <c r="E1206" s="478"/>
      <c r="F1206" s="478"/>
      <c r="G1206" s="478"/>
      <c r="H1206" s="478"/>
      <c r="I1206" s="478"/>
      <c r="J1206" s="478"/>
      <c r="K1206" s="478"/>
      <c r="L1206" s="478"/>
      <c r="M1206" s="478"/>
      <c r="O1206" s="2702" t="s">
        <v>1998</v>
      </c>
      <c r="P1206" s="2667" t="str">
        <f>'Part VIII-Threshold Criteria'!P112</f>
        <v>No</v>
      </c>
      <c r="Q1206" s="2667">
        <f>'Part VIII-Threshold Criteria'!Q112</f>
        <v>0</v>
      </c>
    </row>
    <row r="1207" spans="1:17">
      <c r="A1207" s="2700" t="s">
        <v>2000</v>
      </c>
      <c r="B1207" s="478" t="s">
        <v>1316</v>
      </c>
      <c r="C1207" s="478"/>
      <c r="E1207" s="478"/>
      <c r="F1207" s="478"/>
      <c r="G1207" s="478"/>
      <c r="H1207" s="478"/>
      <c r="I1207" s="478"/>
      <c r="J1207" s="478"/>
      <c r="K1207" s="478"/>
      <c r="L1207" s="2597"/>
      <c r="M1207" s="2597"/>
      <c r="O1207" s="2702" t="s">
        <v>2000</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3492</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3493</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2897</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2380</v>
      </c>
      <c r="C1212" s="2661" t="s">
        <v>2705</v>
      </c>
      <c r="D1212" s="2661"/>
      <c r="E1212" s="2661"/>
      <c r="F1212" s="2661"/>
      <c r="G1212" s="2661"/>
      <c r="H1212" s="2661"/>
      <c r="I1212" s="2661"/>
      <c r="J1212" s="2661"/>
      <c r="K1212" s="2661"/>
      <c r="L1212" s="2661"/>
      <c r="M1212" s="2661"/>
      <c r="N1212" s="2661"/>
      <c r="O1212" s="2712" t="s">
        <v>2380</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2130</v>
      </c>
      <c r="B1214" s="478" t="s">
        <v>1440</v>
      </c>
      <c r="D1214" s="478"/>
      <c r="E1214" s="478"/>
      <c r="G1214" s="478"/>
      <c r="I1214" s="478"/>
      <c r="K1214" s="478"/>
      <c r="L1214" s="2597"/>
      <c r="M1214" s="2597"/>
      <c r="N1214" s="2597"/>
      <c r="O1214" s="2702" t="s">
        <v>2130</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Yes</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3779</v>
      </c>
      <c r="D1218" s="2598"/>
      <c r="E1218" s="2598"/>
      <c r="F1218" s="2598"/>
      <c r="G1218" s="2598"/>
      <c r="H1218" s="2597"/>
      <c r="I1218" s="2659"/>
      <c r="J1218" s="2659"/>
      <c r="K1218" s="2659"/>
      <c r="L1218" s="2561"/>
      <c r="M1218" s="2561"/>
      <c r="N1218" s="2561"/>
      <c r="O1218" s="2561"/>
      <c r="P1218" s="2561"/>
      <c r="Q1218" s="2561"/>
    </row>
    <row r="1219" spans="1:17" ht="236.25">
      <c r="A1219" s="2661" t="str">
        <f>'Part VIII-Threshold Criteria'!A125</f>
        <v>No appraisal was required for this application submission. The proposed site was rezoned to R-3, Multiple dwelling Residential District. The Site has not been subdivided nor modified for this proposed project.</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1879</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2671</v>
      </c>
      <c r="C1222" s="2597"/>
      <c r="D1222" s="2664"/>
      <c r="E1222" s="2664"/>
      <c r="F1222" s="2664"/>
      <c r="G1222" s="2664"/>
      <c r="H1222" s="2664"/>
      <c r="I1222" s="2664"/>
      <c r="J1222" s="2664"/>
      <c r="K1222" s="2664"/>
      <c r="L1222" s="2664"/>
      <c r="M1222" s="2664"/>
      <c r="O1222" s="2660" t="s">
        <v>1880</v>
      </c>
      <c r="P1222" s="2569">
        <f>'Part VIII-Threshold Criteria'!P128</f>
        <v>0</v>
      </c>
      <c r="Q1222" s="2569">
        <f>'Part VIII-Threshold Criteria'!Q128</f>
        <v>0</v>
      </c>
    </row>
    <row r="1224" spans="1:17">
      <c r="A1224" s="2700" t="s">
        <v>1998</v>
      </c>
      <c r="B1224" s="478" t="s">
        <v>3661</v>
      </c>
      <c r="D1224" s="2626"/>
      <c r="E1224" s="2626"/>
      <c r="F1224" s="2626"/>
      <c r="G1224" s="2626"/>
      <c r="H1224" s="2626"/>
      <c r="I1224" s="2354"/>
      <c r="J1224" s="2354"/>
      <c r="K1224" s="2702" t="s">
        <v>1998</v>
      </c>
      <c r="L1224" s="2569" t="str">
        <f>'Part VIII-Threshold Criteria'!L130</f>
        <v>Geotechnical and Environmental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2000</v>
      </c>
      <c r="B1225" s="478" t="s">
        <v>1550</v>
      </c>
      <c r="D1225" s="2626"/>
      <c r="E1225" s="2626"/>
      <c r="F1225" s="2626"/>
      <c r="G1225" s="2626"/>
      <c r="H1225" s="2626"/>
      <c r="I1225" s="2354"/>
      <c r="J1225" s="2354"/>
      <c r="K1225" s="2626"/>
      <c r="L1225" s="2591"/>
      <c r="O1225" s="2702" t="s">
        <v>2000</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2704</v>
      </c>
      <c r="E1227" s="2626"/>
      <c r="F1227" s="2626"/>
      <c r="G1227" s="2626"/>
      <c r="H1227" s="2626"/>
      <c r="I1227" s="2354"/>
      <c r="J1227" s="2354"/>
      <c r="K1227" s="2702" t="s">
        <v>1750</v>
      </c>
      <c r="L1227" s="2569" t="str">
        <f>'Part VIII-Threshold Criteria'!L133</f>
        <v>Geotechnical and Environmental Consultants, Inc.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3494</v>
      </c>
      <c r="E1228" s="2354"/>
      <c r="F1228" s="2354"/>
      <c r="G1228" s="2354"/>
      <c r="H1228" s="478"/>
      <c r="I1228" s="2354"/>
      <c r="J1228" s="2354"/>
      <c r="K1228" s="2626"/>
      <c r="L1228" s="2591"/>
      <c r="M1228" s="2591"/>
      <c r="O1228" s="2702" t="s">
        <v>1751</v>
      </c>
      <c r="P1228" s="2667" t="str">
        <f>'Part VIII-Threshold Criteria'!P134</f>
        <v>&lt;65</v>
      </c>
      <c r="Q1228" s="2667">
        <f>'Part VIII-Threshold Criteria'!Q134</f>
        <v>0</v>
      </c>
    </row>
    <row r="1229" spans="1:17">
      <c r="A1229" s="2580"/>
      <c r="B1229" s="2702" t="s">
        <v>1752</v>
      </c>
      <c r="C1229" s="478" t="s">
        <v>4162</v>
      </c>
      <c r="E1229" s="2354"/>
      <c r="F1229" s="2354"/>
      <c r="G1229" s="2354"/>
      <c r="H1229" s="478"/>
      <c r="I1229" s="2354"/>
      <c r="J1229" s="2354"/>
      <c r="K1229" s="2626"/>
      <c r="L1229" s="2591"/>
      <c r="M1229" s="2591"/>
      <c r="N1229" s="2591"/>
      <c r="O1229" s="2591"/>
    </row>
    <row r="1230" spans="1:17" ht="33.75">
      <c r="A1230" s="2561"/>
      <c r="B1230" s="2702"/>
      <c r="C1230" s="2626" t="str">
        <f>'Part VIII-Threshold Criteria'!C136</f>
        <v>Road, Railway, Aircraft</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2130</v>
      </c>
      <c r="B1231" s="478" t="s">
        <v>1272</v>
      </c>
      <c r="D1231" s="2626"/>
      <c r="E1231" s="2626"/>
      <c r="F1231" s="2626"/>
      <c r="G1231" s="2626"/>
      <c r="H1231" s="2626"/>
      <c r="I1231" s="2354"/>
      <c r="J1231" s="2354"/>
      <c r="K1231" s="2626"/>
      <c r="L1231" s="2591"/>
      <c r="M1231" s="2591"/>
      <c r="N1231" s="2591"/>
      <c r="O1231" s="2702" t="s">
        <v>2130</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2648</v>
      </c>
      <c r="E1234" s="2702" t="s">
        <v>2450</v>
      </c>
      <c r="F1234" s="478" t="s">
        <v>2649</v>
      </c>
      <c r="G1234" s="2354"/>
      <c r="H1234" s="478"/>
      <c r="I1234" s="2354"/>
      <c r="J1234" s="2354"/>
      <c r="K1234" s="2626"/>
      <c r="L1234" s="2591"/>
      <c r="M1234" s="2591"/>
      <c r="O1234" s="2702" t="s">
        <v>2450</v>
      </c>
      <c r="P1234" s="2717">
        <f>'Part VIII-Threshold Criteria'!P140</f>
        <v>7.7799999999999994E-2</v>
      </c>
      <c r="Q1234" s="2717">
        <f>'Part VIII-Threshold Criteria'!Q140</f>
        <v>0</v>
      </c>
    </row>
    <row r="1235" spans="1:17">
      <c r="A1235" s="2700"/>
      <c r="B1235" s="2702"/>
      <c r="E1235" s="2702" t="s">
        <v>2451</v>
      </c>
      <c r="F1235" s="478" t="s">
        <v>2650</v>
      </c>
      <c r="G1235" s="2354"/>
      <c r="H1235" s="478"/>
      <c r="I1235" s="2354"/>
      <c r="J1235" s="2354"/>
      <c r="K1235" s="2626"/>
      <c r="L1235" s="2591"/>
      <c r="M1235" s="2591"/>
      <c r="O1235" s="2702" t="s">
        <v>2451</v>
      </c>
      <c r="P1235" s="2667" t="str">
        <f>'Part VIII-Threshold Criteria'!P141</f>
        <v>No</v>
      </c>
      <c r="Q1235" s="2667">
        <f>'Part VIII-Threshold Criteria'!Q141</f>
        <v>0</v>
      </c>
    </row>
    <row r="1236" spans="1:17">
      <c r="A1236" s="2700"/>
      <c r="B1236" s="2702"/>
      <c r="E1236" s="2702" t="s">
        <v>2452</v>
      </c>
      <c r="F1236" s="478" t="s">
        <v>2651</v>
      </c>
      <c r="G1236" s="2354"/>
      <c r="H1236" s="478"/>
      <c r="I1236" s="2354"/>
      <c r="J1236" s="2354"/>
      <c r="K1236" s="2626"/>
      <c r="L1236" s="2591"/>
      <c r="M1236" s="2591"/>
      <c r="O1236" s="2702" t="s">
        <v>2452</v>
      </c>
      <c r="P1236" s="2667" t="str">
        <f>'Part VIII-Threshold Criteria'!P142</f>
        <v>Yes</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Yes</v>
      </c>
      <c r="Q1237" s="2667">
        <f>'Part VIII-Threshold Criteria'!Q143</f>
        <v>0</v>
      </c>
    </row>
    <row r="1238" spans="1:17">
      <c r="A1238" s="2700"/>
      <c r="B1238" s="2702"/>
      <c r="C1238" s="478" t="s">
        <v>2648</v>
      </c>
      <c r="E1238" s="2702" t="s">
        <v>2450</v>
      </c>
      <c r="F1238" s="478" t="s">
        <v>2652</v>
      </c>
      <c r="G1238" s="2354"/>
      <c r="H1238" s="478"/>
      <c r="I1238" s="2354"/>
      <c r="J1238" s="2354"/>
      <c r="K1238" s="2626"/>
      <c r="L1238" s="2591"/>
      <c r="O1238" s="2702" t="s">
        <v>2450</v>
      </c>
      <c r="P1238" s="2717">
        <f>'Part VIII-Threshold Criteria'!P144</f>
        <v>5.9500000000000004E-3</v>
      </c>
      <c r="Q1238" s="2717">
        <f>'Part VIII-Threshold Criteria'!Q144</f>
        <v>0</v>
      </c>
    </row>
    <row r="1239" spans="1:17">
      <c r="A1239" s="2700"/>
      <c r="B1239" s="2702"/>
      <c r="E1239" s="2702" t="s">
        <v>2451</v>
      </c>
      <c r="F1239" s="478" t="s">
        <v>2653</v>
      </c>
      <c r="G1239" s="2354"/>
      <c r="H1239" s="478"/>
      <c r="I1239" s="2354"/>
      <c r="J1239" s="2354"/>
      <c r="O1239" s="2702" t="s">
        <v>2451</v>
      </c>
      <c r="P1239" s="2667" t="str">
        <f>'Part VIII-Threshold Criteria'!P145</f>
        <v>No</v>
      </c>
      <c r="Q1239" s="2667">
        <f>'Part VIII-Threshold Criteria'!Q145</f>
        <v>0</v>
      </c>
    </row>
    <row r="1240" spans="1:17">
      <c r="A1240" s="2700"/>
      <c r="B1240" s="2702"/>
      <c r="E1240" s="2702" t="s">
        <v>2452</v>
      </c>
      <c r="F1240" s="478" t="s">
        <v>2651</v>
      </c>
      <c r="G1240" s="2354"/>
      <c r="H1240" s="478"/>
      <c r="I1240" s="2354"/>
      <c r="J1240" s="2354"/>
      <c r="O1240" s="2702" t="s">
        <v>2452</v>
      </c>
      <c r="P1240" s="2667" t="str">
        <f>'Part VIII-Threshold Criteria'!P146</f>
        <v>Yes</v>
      </c>
      <c r="Q1240" s="2667">
        <f>'Part VIII-Threshold Criteria'!Q146</f>
        <v>0</v>
      </c>
    </row>
    <row r="1241" spans="1:17">
      <c r="A1241" s="478"/>
      <c r="B1241" s="2702" t="s">
        <v>2380</v>
      </c>
      <c r="C1241" s="478" t="s">
        <v>2654</v>
      </c>
      <c r="E1241" s="2626"/>
      <c r="F1241" s="2626"/>
      <c r="G1241" s="2626"/>
      <c r="H1241" s="2626"/>
      <c r="I1241" s="2354"/>
      <c r="J1241" s="2354"/>
      <c r="O1241" s="2702" t="s">
        <v>2380</v>
      </c>
      <c r="P1241" s="2667" t="str">
        <f>'Part VIII-Threshold Criteria'!P147</f>
        <v>Yes</v>
      </c>
      <c r="Q1241" s="2667">
        <f>'Part VIII-Threshold Criteria'!Q147</f>
        <v>0</v>
      </c>
    </row>
    <row r="1242" spans="1:17">
      <c r="A1242" s="2700" t="s">
        <v>1748</v>
      </c>
      <c r="B1242" s="2597" t="s">
        <v>2429</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2510</v>
      </c>
      <c r="E1243" s="2626"/>
      <c r="F1243" s="2667" t="str">
        <f>'Part VIII-Threshold Criteria'!F149</f>
        <v>No</v>
      </c>
      <c r="G1243" s="2667">
        <f>'Part VIII-Threshold Criteria'!G149</f>
        <v>0</v>
      </c>
      <c r="H1243" s="2702" t="s">
        <v>1561</v>
      </c>
      <c r="I1243" s="1156" t="s">
        <v>2656</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2820</v>
      </c>
      <c r="E1244" s="2626"/>
      <c r="F1244" s="2667" t="str">
        <f>'Part VIII-Threshold Criteria'!F150</f>
        <v>No</v>
      </c>
      <c r="G1244" s="2667">
        <f>'Part VIII-Threshold Criteria'!G150</f>
        <v>0</v>
      </c>
      <c r="H1244" s="2702" t="s">
        <v>1562</v>
      </c>
      <c r="I1244" s="1156" t="s">
        <v>2657</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2655</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2822</v>
      </c>
      <c r="O1245" s="478" t="s">
        <v>1565</v>
      </c>
      <c r="P1245" s="2667" t="str">
        <f>'Part VIII-Threshold Criteria'!P151</f>
        <v>No</v>
      </c>
      <c r="Q1245" s="2667">
        <f>'Part VIII-Threshold Criteria'!Q151</f>
        <v>0</v>
      </c>
    </row>
    <row r="1246" spans="1:17">
      <c r="A1246" s="478"/>
      <c r="B1246" s="2702" t="s">
        <v>2380</v>
      </c>
      <c r="C1246" s="478" t="s">
        <v>2823</v>
      </c>
      <c r="E1246" s="2626"/>
      <c r="F1246" s="2667" t="str">
        <f>'Part VIII-Threshold Criteria'!F152</f>
        <v>No</v>
      </c>
      <c r="G1246" s="2667">
        <f>'Part VIII-Threshold Criteria'!G152</f>
        <v>0</v>
      </c>
      <c r="H1246" s="2702" t="s">
        <v>516</v>
      </c>
      <c r="I1246" s="478" t="s">
        <v>2819</v>
      </c>
      <c r="L1246" s="2667" t="str">
        <f>'Part VIII-Threshold Criteria'!L152</f>
        <v>No</v>
      </c>
      <c r="M1246" s="2667">
        <f>'Part VIII-Threshold Criteria'!M152</f>
        <v>0</v>
      </c>
      <c r="O1246" s="2702"/>
    </row>
    <row r="1247" spans="1:17">
      <c r="A1247" s="478"/>
      <c r="B1247" s="2702" t="s">
        <v>2911</v>
      </c>
      <c r="C1247" s="478" t="s">
        <v>2821</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2824</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1961</v>
      </c>
      <c r="B1253" s="478" t="s">
        <v>1766</v>
      </c>
      <c r="D1253" s="2626"/>
      <c r="E1253" s="2626"/>
      <c r="F1253" s="2626"/>
      <c r="G1253" s="2626"/>
      <c r="H1253" s="2626"/>
      <c r="I1253" s="2354"/>
      <c r="J1253" s="2354"/>
      <c r="K1253" s="2626"/>
      <c r="L1253" s="2626"/>
      <c r="M1253" s="2591"/>
      <c r="O1253" s="2702" t="s">
        <v>1961</v>
      </c>
      <c r="P1253" s="2667" t="str">
        <f>'Part VIII-Threshold Criteria'!P159</f>
        <v>N/A</v>
      </c>
      <c r="Q1253" s="2667">
        <f>'Part VIII-Threshold Criteria'!Q159</f>
        <v>0</v>
      </c>
    </row>
    <row r="1254" spans="1:17">
      <c r="A1254" s="2718" t="s">
        <v>3484</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3390</v>
      </c>
      <c r="B1255" s="2661" t="s">
        <v>4759</v>
      </c>
      <c r="C1255" s="2661"/>
      <c r="D1255" s="2661"/>
      <c r="E1255" s="2661"/>
      <c r="F1255" s="2661"/>
      <c r="G1255" s="2661"/>
      <c r="H1255" s="2661"/>
      <c r="I1255" s="2661"/>
      <c r="J1255" s="2661"/>
      <c r="K1255" s="2661"/>
      <c r="L1255" s="2661"/>
      <c r="M1255" s="2712" t="s">
        <v>3390</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3391</v>
      </c>
      <c r="B1257" s="2597" t="s">
        <v>1427</v>
      </c>
      <c r="C1257" s="2354"/>
      <c r="D1257" s="2715"/>
      <c r="E1257" s="2715"/>
      <c r="F1257" s="2715"/>
      <c r="G1257" s="2553"/>
      <c r="H1257" s="2553"/>
      <c r="I1257" s="2597"/>
      <c r="J1257" s="2354"/>
      <c r="K1257" s="2553"/>
      <c r="L1257" s="2553"/>
      <c r="M1257" s="2553"/>
      <c r="N1257" s="2354"/>
      <c r="O1257" s="2702" t="s">
        <v>3391</v>
      </c>
      <c r="P1257" s="2667">
        <f>'Part VIII-Threshold Criteria'!P163</f>
        <v>0</v>
      </c>
      <c r="Q1257" s="2667">
        <f>'Part VIII-Threshold Criteria'!Q163</f>
        <v>0</v>
      </c>
    </row>
    <row r="1258" spans="1:17">
      <c r="B1258" s="2598" t="s">
        <v>3779</v>
      </c>
      <c r="D1258" s="2598"/>
      <c r="E1258" s="2598"/>
      <c r="F1258" s="2598"/>
      <c r="G1258" s="2598"/>
      <c r="H1258" s="2597"/>
      <c r="I1258" s="2659"/>
      <c r="J1258" s="2659"/>
      <c r="K1258" s="2659"/>
      <c r="L1258" s="2561"/>
      <c r="M1258" s="2561"/>
      <c r="N1258" s="2561"/>
      <c r="O1258" s="2561"/>
      <c r="P1258" s="2561"/>
      <c r="Q1258" s="2561"/>
    </row>
    <row r="1259" spans="1:17" ht="67.5">
      <c r="A1259" s="2661" t="str">
        <f>'Part VIII-Threshold Criteria'!A165</f>
        <v>The environmental report is included in Tab 7 of the application.</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1879</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2672</v>
      </c>
      <c r="C1264" s="2544"/>
      <c r="D1264" s="2664"/>
      <c r="E1264" s="2664"/>
      <c r="F1264" s="2664"/>
      <c r="G1264" s="2664"/>
      <c r="H1264" s="2664"/>
      <c r="I1264" s="2664"/>
      <c r="J1264" s="2664"/>
      <c r="K1264" s="2664"/>
      <c r="O1264" s="2660" t="s">
        <v>1880</v>
      </c>
      <c r="P1264" s="2569">
        <f>'Part VIII-Threshold Criteria'!P170</f>
        <v>0</v>
      </c>
      <c r="Q1264" s="2569">
        <f>'Part VIII-Threshold Criteria'!Q170</f>
        <v>0</v>
      </c>
    </row>
    <row r="1265" spans="1:17">
      <c r="A1265" s="2700" t="s">
        <v>1998</v>
      </c>
      <c r="B1265" s="478" t="s">
        <v>4548</v>
      </c>
      <c r="D1265" s="478"/>
      <c r="E1265" s="478"/>
      <c r="F1265" s="478"/>
      <c r="G1265" s="478"/>
      <c r="I1265" s="478" t="s">
        <v>2724</v>
      </c>
      <c r="K1265" s="2720">
        <f>'Part VIII-Threshold Criteria'!K171</f>
        <v>43465</v>
      </c>
      <c r="L1265" s="2720">
        <f>'Part VIII-Threshold Criteria'!L171</f>
        <v>0</v>
      </c>
      <c r="N1265" s="478"/>
      <c r="O1265" s="2702" t="s">
        <v>1998</v>
      </c>
      <c r="P1265" s="2667" t="str">
        <f>'Part VIII-Threshold Criteria'!P171</f>
        <v>Yes</v>
      </c>
      <c r="Q1265" s="2667">
        <f>'Part VIII-Threshold Criteria'!Q171</f>
        <v>0</v>
      </c>
    </row>
    <row r="1266" spans="1:17">
      <c r="A1266" s="2700" t="s">
        <v>2000</v>
      </c>
      <c r="B1266" s="2686" t="s">
        <v>151</v>
      </c>
      <c r="D1266" s="2686"/>
      <c r="E1266" s="2686"/>
      <c r="F1266" s="2686"/>
      <c r="G1266" s="2686"/>
      <c r="H1266" s="2686"/>
      <c r="M1266" s="2702" t="s">
        <v>2000</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Sparrow Pointe Housing,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2130</v>
      </c>
      <c r="B1268" s="2686" t="s">
        <v>2899</v>
      </c>
      <c r="D1268" s="2686"/>
      <c r="E1268" s="2686"/>
      <c r="F1268" s="2686"/>
      <c r="G1268" s="2686"/>
      <c r="H1268" s="2686"/>
      <c r="J1268" s="2702"/>
      <c r="K1268" s="2702"/>
      <c r="L1268" s="2702"/>
      <c r="M1268" s="2702"/>
      <c r="N1268" s="2702"/>
      <c r="O1268" s="2702" t="s">
        <v>2130</v>
      </c>
      <c r="P1268" s="2667" t="str">
        <f>'Part VIII-Threshold Criteria'!P174</f>
        <v>No</v>
      </c>
      <c r="Q1268" s="2667">
        <f>'Part VIII-Threshold Criteria'!Q174</f>
        <v>0</v>
      </c>
    </row>
    <row r="1269" spans="1:17">
      <c r="B1269" s="2598" t="s">
        <v>3779</v>
      </c>
      <c r="D1269" s="2598"/>
      <c r="E1269" s="2598"/>
      <c r="F1269" s="2598"/>
      <c r="G1269" s="2598"/>
      <c r="H1269" s="2597"/>
      <c r="I1269" s="2659"/>
      <c r="J1269" s="2659"/>
      <c r="K1269" s="2659"/>
      <c r="L1269" s="2561"/>
      <c r="M1269" s="2561"/>
      <c r="N1269" s="2561"/>
      <c r="O1269" s="2561"/>
      <c r="P1269" s="2561"/>
      <c r="Q1269" s="2561"/>
    </row>
    <row r="1270" spans="1:17" ht="146.25">
      <c r="A1270" s="2661" t="str">
        <f>'Part VIII-Threshold Criteria'!A176</f>
        <v>Please see Tab 8 of the application for evidence of site control. The Applicant has site control through November 30, 2018.</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1879</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2673</v>
      </c>
      <c r="C1274" s="2544"/>
      <c r="D1274" s="2664"/>
      <c r="E1274" s="2664"/>
      <c r="F1274" s="2664"/>
      <c r="G1274" s="2664"/>
      <c r="H1274" s="2664"/>
      <c r="I1274" s="2664"/>
      <c r="J1274" s="2664"/>
      <c r="K1274" s="2664"/>
      <c r="L1274" s="2664"/>
      <c r="M1274" s="2664"/>
      <c r="O1274" s="2660" t="s">
        <v>1880</v>
      </c>
      <c r="P1274" s="2569">
        <f>'Part VIII-Threshold Criteria'!P180</f>
        <v>0</v>
      </c>
      <c r="Q1274" s="2569">
        <f>'Part VIII-Threshold Criteria'!Q180</f>
        <v>0</v>
      </c>
    </row>
    <row r="1275" spans="1:17" ht="12.75" customHeight="1">
      <c r="A1275" s="2698" t="s">
        <v>1998</v>
      </c>
      <c r="B1275" s="2661" t="s">
        <v>3770</v>
      </c>
      <c r="C1275" s="2661"/>
      <c r="D1275" s="2661"/>
      <c r="E1275" s="2661"/>
      <c r="F1275" s="2661"/>
      <c r="G1275" s="2661"/>
      <c r="H1275" s="2661"/>
      <c r="I1275" s="2661"/>
      <c r="J1275" s="2661"/>
      <c r="K1275" s="2661"/>
      <c r="L1275" s="2661"/>
      <c r="M1275" s="2661"/>
      <c r="N1275" s="2661"/>
      <c r="O1275" s="2712" t="s">
        <v>1998</v>
      </c>
      <c r="P1275" s="2713" t="str">
        <f>'Part VIII-Threshold Criteria'!P181</f>
        <v>Yes</v>
      </c>
      <c r="Q1275" s="2713">
        <f>'Part VIII-Threshold Criteria'!Q181</f>
        <v>0</v>
      </c>
    </row>
    <row r="1276" spans="1:17" ht="12.75" customHeight="1">
      <c r="A1276" s="2698" t="s">
        <v>2000</v>
      </c>
      <c r="B1276" s="2661" t="s">
        <v>3662</v>
      </c>
      <c r="C1276" s="2661"/>
      <c r="D1276" s="2661"/>
      <c r="E1276" s="2661"/>
      <c r="F1276" s="2661"/>
      <c r="G1276" s="2661"/>
      <c r="H1276" s="2661"/>
      <c r="I1276" s="2661"/>
      <c r="J1276" s="2661"/>
      <c r="K1276" s="2661"/>
      <c r="L1276" s="2661"/>
      <c r="M1276" s="2661"/>
      <c r="N1276" s="2661"/>
      <c r="O1276" s="2712" t="s">
        <v>2000</v>
      </c>
      <c r="P1276" s="2713">
        <f>'Part VIII-Threshold Criteria'!P182</f>
        <v>0</v>
      </c>
      <c r="Q1276" s="2713">
        <f>'Part VIII-Threshold Criteria'!Q182</f>
        <v>0</v>
      </c>
    </row>
    <row r="1277" spans="1:17" ht="12.75" customHeight="1">
      <c r="A1277" s="2698" t="s">
        <v>757</v>
      </c>
      <c r="B1277" s="2661" t="s">
        <v>3771</v>
      </c>
      <c r="C1277" s="2661"/>
      <c r="D1277" s="2661"/>
      <c r="E1277" s="2661"/>
      <c r="F1277" s="2661"/>
      <c r="G1277" s="2661"/>
      <c r="H1277" s="2661"/>
      <c r="I1277" s="2661"/>
      <c r="J1277" s="2661"/>
      <c r="K1277" s="2661"/>
      <c r="L1277" s="2661"/>
      <c r="M1277" s="2661"/>
      <c r="N1277" s="2661"/>
      <c r="O1277" s="2712" t="s">
        <v>757</v>
      </c>
      <c r="P1277" s="2713" t="str">
        <f>'Part VIII-Threshold Criteria'!P183</f>
        <v>Yes</v>
      </c>
      <c r="Q1277" s="2713">
        <f>'Part VIII-Threshold Criteria'!Q183</f>
        <v>0</v>
      </c>
    </row>
    <row r="1278" spans="1:17" ht="12.75" customHeight="1">
      <c r="A1278" s="2698" t="s">
        <v>2130</v>
      </c>
      <c r="B1278" s="2661" t="s">
        <v>2658</v>
      </c>
      <c r="C1278" s="2661"/>
      <c r="D1278" s="2661"/>
      <c r="E1278" s="2661"/>
      <c r="F1278" s="2661"/>
      <c r="G1278" s="2661"/>
      <c r="H1278" s="2661"/>
      <c r="I1278" s="2661"/>
      <c r="J1278" s="2661"/>
      <c r="K1278" s="2661"/>
      <c r="L1278" s="2661"/>
      <c r="M1278" s="2661"/>
      <c r="N1278" s="2661"/>
      <c r="O1278" s="2712" t="s">
        <v>2130</v>
      </c>
      <c r="P1278" s="2713">
        <f>'Part VIII-Threshold Criteria'!P184</f>
        <v>0</v>
      </c>
      <c r="Q1278" s="2713">
        <f>'Part VIII-Threshold Criteria'!Q184</f>
        <v>0</v>
      </c>
    </row>
    <row r="1279" spans="1:17">
      <c r="B1279" s="2598" t="s">
        <v>3779</v>
      </c>
      <c r="D1279" s="2598"/>
      <c r="E1279" s="2598"/>
      <c r="F1279" s="2598"/>
      <c r="G1279" s="2598"/>
      <c r="H1279" s="2597"/>
      <c r="I1279" s="2659"/>
      <c r="J1279" s="2659"/>
      <c r="K1279" s="2659"/>
      <c r="L1279" s="2561"/>
      <c r="M1279" s="2561"/>
      <c r="N1279" s="2561"/>
      <c r="O1279" s="2561"/>
      <c r="P1279" s="2561"/>
      <c r="Q1279" s="2561"/>
    </row>
    <row r="1280" spans="1:17">
      <c r="A1280" s="2661">
        <f>'Part VIII-Threshold Criteria'!A186</f>
        <v>0</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1879</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2674</v>
      </c>
      <c r="C1284" s="2543"/>
      <c r="D1284" s="2543"/>
      <c r="O1284" s="2660" t="s">
        <v>1880</v>
      </c>
      <c r="P1284" s="2569">
        <f>'Part VIII-Threshold Criteria'!P190</f>
        <v>0</v>
      </c>
      <c r="Q1284" s="2569">
        <f>'Part VIII-Threshold Criteria'!Q190</f>
        <v>0</v>
      </c>
    </row>
    <row r="1285" spans="1:17">
      <c r="A1285" s="2698" t="s">
        <v>1998</v>
      </c>
      <c r="B1285" s="2721" t="s">
        <v>472</v>
      </c>
      <c r="D1285" s="2721"/>
      <c r="E1285" s="2721"/>
      <c r="F1285" s="2721"/>
      <c r="G1285" s="2721"/>
      <c r="H1285" s="2721"/>
      <c r="I1285" s="2721"/>
      <c r="J1285" s="2721"/>
      <c r="K1285" s="2721"/>
      <c r="L1285" s="2721"/>
      <c r="M1285" s="2721"/>
      <c r="O1285" s="2712" t="s">
        <v>1998</v>
      </c>
      <c r="P1285" s="2667" t="str">
        <f>'Part VIII-Threshold Criteria'!P191</f>
        <v>Yes</v>
      </c>
      <c r="Q1285" s="2667">
        <f>'Part VIII-Threshold Criteria'!Q191</f>
        <v>0</v>
      </c>
    </row>
    <row r="1286" spans="1:17">
      <c r="A1286" s="2698" t="s">
        <v>2000</v>
      </c>
      <c r="B1286" s="2721" t="s">
        <v>2659</v>
      </c>
      <c r="D1286" s="2721"/>
      <c r="E1286" s="2721"/>
      <c r="F1286" s="2721"/>
      <c r="G1286" s="2721"/>
      <c r="H1286" s="2721"/>
      <c r="I1286" s="2721"/>
      <c r="J1286" s="2721"/>
      <c r="K1286" s="2721"/>
      <c r="L1286" s="2721"/>
      <c r="M1286" s="2721"/>
      <c r="O1286" s="2712" t="s">
        <v>2000</v>
      </c>
      <c r="P1286" s="2667" t="str">
        <f>'Part VIII-Threshold Criteria'!P192</f>
        <v>Yes</v>
      </c>
      <c r="Q1286" s="2667">
        <f>'Part VIII-Threshold Criteria'!Q192</f>
        <v>0</v>
      </c>
    </row>
    <row r="1287" spans="1:17">
      <c r="A1287" s="2698" t="s">
        <v>757</v>
      </c>
      <c r="B1287" s="2721" t="s">
        <v>2660</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2648</v>
      </c>
      <c r="C1288" s="2661"/>
      <c r="D1288" s="2702" t="s">
        <v>1750</v>
      </c>
      <c r="E1288" s="2597" t="s">
        <v>2661</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4760</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3772</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2380</v>
      </c>
      <c r="E1291" s="2597" t="s">
        <v>2663</v>
      </c>
      <c r="G1291" s="2721"/>
      <c r="H1291" s="2721"/>
      <c r="I1291" s="2721"/>
      <c r="J1291" s="2721"/>
      <c r="K1291" s="2721"/>
      <c r="L1291" s="2721"/>
      <c r="M1291" s="2721"/>
      <c r="O1291" s="2722" t="s">
        <v>2380</v>
      </c>
      <c r="P1291" s="2667" t="str">
        <f>'Part VIII-Threshold Criteria'!P197</f>
        <v>Yes</v>
      </c>
      <c r="Q1291" s="2667">
        <f>'Part VIII-Threshold Criteria'!Q197</f>
        <v>0</v>
      </c>
    </row>
    <row r="1292" spans="1:17" ht="12.75" customHeight="1">
      <c r="A1292" s="2698"/>
      <c r="B1292" s="2678"/>
      <c r="C1292" s="2721"/>
      <c r="D1292" s="2712" t="s">
        <v>1561</v>
      </c>
      <c r="E1292" s="2661" t="s">
        <v>2664</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3927</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2130</v>
      </c>
      <c r="B1294" s="2661" t="s">
        <v>2665</v>
      </c>
      <c r="C1294" s="2661"/>
      <c r="D1294" s="2661"/>
      <c r="E1294" s="2661"/>
      <c r="F1294" s="2661"/>
      <c r="G1294" s="2661"/>
      <c r="H1294" s="2661"/>
      <c r="I1294" s="2661"/>
      <c r="J1294" s="2661"/>
      <c r="K1294" s="2661"/>
      <c r="L1294" s="2661"/>
      <c r="M1294" s="2661"/>
      <c r="N1294" s="2661"/>
      <c r="O1294" s="2712" t="s">
        <v>2130</v>
      </c>
      <c r="P1294" s="2713" t="str">
        <f>'Part VIII-Threshold Criteria'!P200</f>
        <v>Yes</v>
      </c>
      <c r="Q1294" s="2713">
        <f>'Part VIII-Threshold Criteria'!Q200</f>
        <v>0</v>
      </c>
    </row>
    <row r="1295" spans="1:17">
      <c r="A1295" s="2698" t="s">
        <v>1748</v>
      </c>
      <c r="B1295" s="2721" t="s">
        <v>2394</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3779</v>
      </c>
      <c r="D1296" s="2598"/>
      <c r="E1296" s="2598"/>
      <c r="F1296" s="2598"/>
      <c r="G1296" s="2598"/>
      <c r="H1296" s="2597"/>
      <c r="I1296" s="2659"/>
      <c r="J1296" s="2659"/>
      <c r="K1296" s="2659"/>
      <c r="L1296" s="2561"/>
      <c r="M1296" s="2561"/>
      <c r="N1296" s="2561"/>
      <c r="O1296" s="2561"/>
      <c r="P1296" s="2561"/>
      <c r="Q1296" s="2561"/>
    </row>
    <row r="1297" spans="1:17" ht="135">
      <c r="A1297" s="2661" t="str">
        <f>'Part VIII-Threshold Criteria'!A203</f>
        <v>Zoning is in place at the time of the application and the site development plan conforms to the zoning. Please see Tab 10 for zoning.</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1879</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2675</v>
      </c>
      <c r="C1301" s="2544"/>
      <c r="D1301" s="2664"/>
      <c r="E1301" s="2723"/>
      <c r="F1301" s="2723"/>
      <c r="G1301" s="2664"/>
      <c r="J1301" s="2661"/>
      <c r="K1301" s="2661"/>
      <c r="L1301" s="2661"/>
      <c r="M1301" s="2661"/>
      <c r="N1301" s="2661"/>
      <c r="O1301" s="2660" t="s">
        <v>1880</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f>'Part VIII-Threshold Criteria'!J208</f>
        <v>0</v>
      </c>
      <c r="K1302" s="2658">
        <f>'Part VIII-Threshold Criteria'!K208</f>
        <v>0</v>
      </c>
      <c r="L1302" s="2658">
        <f>'Part VIII-Threshold Criteria'!L208</f>
        <v>0</v>
      </c>
      <c r="M1302" s="2658">
        <f>'Part VIII-Threshold Criteria'!M208</f>
        <v>0</v>
      </c>
      <c r="N1302" s="2658">
        <f>'Part VIII-Threshold Criteria'!N208</f>
        <v>0</v>
      </c>
      <c r="O1302" s="2702" t="s">
        <v>1750</v>
      </c>
      <c r="P1302" s="2667">
        <f>'Part VIII-Threshold Criteria'!P208</f>
        <v>0</v>
      </c>
      <c r="Q1302" s="2667">
        <f>'Part VIII-Threshold Criteria'!Q208</f>
        <v>0</v>
      </c>
    </row>
    <row r="1303" spans="1:17">
      <c r="A1303" s="2580"/>
      <c r="B1303" s="2598" t="s">
        <v>3779</v>
      </c>
      <c r="C1303" s="2500"/>
      <c r="D1303" s="2500"/>
      <c r="E1303" s="2500"/>
      <c r="F1303" s="2500"/>
      <c r="H1303" s="2702" t="s">
        <v>1751</v>
      </c>
      <c r="I1303" s="478" t="s">
        <v>1608</v>
      </c>
      <c r="J1303" s="2658" t="str">
        <f>'Part VIII-Threshold Criteria'!J209</f>
        <v>City of Moultrie</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90">
      <c r="A1304" s="2661" t="str">
        <f>'Part VIII-Threshold Criteria'!A210</f>
        <v>Please see Tab 11 for confirmation that electric service is available at the project site.</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1879</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2676</v>
      </c>
      <c r="C1308" s="2543"/>
      <c r="D1308" s="2658"/>
      <c r="E1308" s="2658"/>
      <c r="F1308" s="2658"/>
      <c r="G1308" s="2664"/>
      <c r="H1308" s="2664"/>
      <c r="I1308" s="2664"/>
      <c r="J1308" s="2664"/>
      <c r="K1308" s="2664"/>
      <c r="L1308" s="2664"/>
      <c r="M1308" s="2664"/>
      <c r="O1308" s="2660" t="s">
        <v>1880</v>
      </c>
      <c r="P1308" s="2569">
        <f>'Part VIII-Threshold Criteria'!P214</f>
        <v>0</v>
      </c>
      <c r="Q1308" s="2569">
        <f>'Part VIII-Threshold Criteria'!Q214</f>
        <v>0</v>
      </c>
    </row>
    <row r="1310" spans="1:17">
      <c r="A1310" s="2698" t="s">
        <v>1998</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2000</v>
      </c>
      <c r="B1312" s="2661" t="s">
        <v>1862</v>
      </c>
      <c r="C1312" s="2661"/>
      <c r="D1312" s="2661"/>
      <c r="E1312" s="2661"/>
      <c r="F1312" s="2661"/>
      <c r="G1312" s="2661"/>
      <c r="H1312" s="2702" t="s">
        <v>1750</v>
      </c>
      <c r="I1312" s="478" t="s">
        <v>641</v>
      </c>
      <c r="J1312" s="2658" t="str">
        <f>'Part VIII-Threshold Criteria'!J218</f>
        <v>City of Moultrie</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Moultrie</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3934</v>
      </c>
      <c r="D1314" s="478"/>
      <c r="E1314" s="478"/>
      <c r="F1314" s="478"/>
      <c r="G1314" s="478"/>
      <c r="H1314" s="478"/>
      <c r="I1314" s="478"/>
      <c r="J1314" s="478"/>
      <c r="K1314" s="2354"/>
      <c r="L1314" s="478"/>
      <c r="M1314" s="478"/>
      <c r="O1314" s="2702" t="s">
        <v>757</v>
      </c>
      <c r="P1314" s="2667">
        <f>'Part VIII-Threshold Criteria'!P220</f>
        <v>0</v>
      </c>
      <c r="Q1314" s="2667">
        <f>'Part VIII-Threshold Criteria'!Q220</f>
        <v>0</v>
      </c>
    </row>
    <row r="1315" spans="1:17">
      <c r="A1315" s="2700" t="s">
        <v>2130</v>
      </c>
      <c r="B1315" s="478" t="s">
        <v>3935</v>
      </c>
      <c r="D1315" s="478"/>
      <c r="E1315" s="478"/>
      <c r="F1315" s="478"/>
      <c r="G1315" s="478"/>
      <c r="H1315" s="478"/>
      <c r="I1315" s="478"/>
      <c r="J1315" s="478"/>
      <c r="K1315" s="2354"/>
      <c r="L1315" s="478"/>
      <c r="M1315" s="478"/>
      <c r="O1315" s="2702" t="s">
        <v>2130</v>
      </c>
      <c r="P1315" s="2667">
        <f>'Part VIII-Threshold Criteria'!P221</f>
        <v>0</v>
      </c>
      <c r="Q1315" s="2667">
        <f>'Part VIII-Threshold Criteria'!Q221</f>
        <v>0</v>
      </c>
    </row>
    <row r="1316" spans="1:17">
      <c r="B1316" s="2598" t="s">
        <v>3779</v>
      </c>
      <c r="D1316" s="2598"/>
      <c r="E1316" s="2598"/>
      <c r="F1316" s="2598"/>
      <c r="G1316" s="2598"/>
      <c r="H1316" s="2597"/>
      <c r="I1316" s="2659"/>
      <c r="J1316" s="2659"/>
      <c r="K1316" s="2659"/>
      <c r="L1316" s="2561"/>
      <c r="M1316" s="2561"/>
      <c r="N1316" s="2561"/>
      <c r="O1316" s="2561"/>
      <c r="P1316" s="2561"/>
      <c r="Q1316" s="2561"/>
    </row>
    <row r="1317" spans="1:17" ht="112.5">
      <c r="A1317" s="2661" t="str">
        <f>'Part VIII-Threshold Criteria'!A223</f>
        <v>Please see Tab 12 for evidence that water and sewer services are available at the project site.</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1879</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2677</v>
      </c>
      <c r="C1321" s="2694"/>
      <c r="D1321" s="2664"/>
      <c r="E1321" s="2664"/>
      <c r="F1321" s="2664"/>
      <c r="G1321" s="2664"/>
      <c r="H1321" s="2664"/>
      <c r="I1321" s="2664"/>
      <c r="J1321" s="2664"/>
      <c r="K1321" s="2664"/>
      <c r="L1321" s="2664"/>
      <c r="M1321" s="2664"/>
      <c r="O1321" s="2660" t="s">
        <v>1880</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1998</v>
      </c>
      <c r="B1323" s="478" t="s">
        <v>4761</v>
      </c>
      <c r="D1323" s="2354"/>
      <c r="E1323" s="2354"/>
      <c r="F1323" s="2354"/>
      <c r="G1323" s="2354"/>
      <c r="H1323" s="2354"/>
      <c r="I1323" s="2354"/>
      <c r="J1323" s="2354"/>
      <c r="K1323" s="2354"/>
      <c r="L1323" s="2354"/>
      <c r="M1323" s="2354"/>
      <c r="O1323" s="2702" t="s">
        <v>1998</v>
      </c>
      <c r="P1323" s="2667" t="str">
        <f>'Part VIII-Threshold Criteria'!P229</f>
        <v>Agree</v>
      </c>
      <c r="Q1323" s="2667">
        <f>'Part VIII-Threshold Criteria'!Q229</f>
        <v>0</v>
      </c>
    </row>
    <row r="1324" spans="1:17">
      <c r="A1324" s="2700"/>
      <c r="B1324" s="2702" t="s">
        <v>1750</v>
      </c>
      <c r="C1324" s="478" t="s">
        <v>1945</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2740</v>
      </c>
      <c r="E1325" s="2597"/>
      <c r="F1325" s="2597"/>
      <c r="G1325" s="2597"/>
      <c r="H1325" s="2597"/>
      <c r="I1325" s="2354"/>
      <c r="J1325" s="2702" t="s">
        <v>1499</v>
      </c>
      <c r="K1325" s="2658" t="str">
        <f>'Part VIII-Threshold Criteria'!K231</f>
        <v>Covered Porch</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2000</v>
      </c>
      <c r="B1327" s="478" t="s">
        <v>2525</v>
      </c>
      <c r="D1327" s="478"/>
      <c r="E1327" s="478"/>
      <c r="F1327" s="478"/>
      <c r="G1327" s="478"/>
      <c r="H1327" s="478"/>
      <c r="I1327" s="478"/>
      <c r="J1327" s="478"/>
      <c r="K1327" s="2354"/>
      <c r="L1327" s="2354"/>
      <c r="M1327" s="2354"/>
      <c r="N1327" s="2354"/>
      <c r="O1327" s="2702" t="s">
        <v>2000</v>
      </c>
      <c r="P1327" s="2667" t="str">
        <f>'Part VIII-Threshold Criteria'!P233</f>
        <v>Agree</v>
      </c>
      <c r="Q1327" s="2667">
        <f>'Part VIII-Threshold Criteria'!Q233</f>
        <v>0</v>
      </c>
    </row>
    <row r="1328" spans="1:17">
      <c r="A1328" s="2700"/>
      <c r="B1328" s="478" t="s">
        <v>4762</v>
      </c>
      <c r="D1328" s="478"/>
      <c r="E1328" s="478"/>
      <c r="F1328" s="478"/>
      <c r="G1328" s="478"/>
      <c r="H1328" s="478"/>
      <c r="I1328" s="478"/>
      <c r="J1328" s="478"/>
      <c r="K1328" s="2354"/>
      <c r="L1328" s="2354"/>
      <c r="M1328" s="2354"/>
      <c r="N1328" s="2354"/>
      <c r="O1328" s="2354"/>
      <c r="P1328" s="2724" t="s">
        <v>2</v>
      </c>
      <c r="Q1328" s="2724"/>
    </row>
    <row r="1329" spans="1:17">
      <c r="A1329" s="2700"/>
      <c r="C1329" s="478" t="s">
        <v>2742</v>
      </c>
      <c r="D1329" s="478"/>
      <c r="E1329" s="478"/>
      <c r="F1329" s="478"/>
      <c r="H1329" s="2726" t="s">
        <v>781</v>
      </c>
      <c r="I1329" s="2356" t="s">
        <v>782</v>
      </c>
      <c r="K1329" s="478" t="s">
        <v>2742</v>
      </c>
      <c r="M1329" s="2354"/>
      <c r="N1329" s="2354"/>
      <c r="O1329" s="2726"/>
      <c r="P1329" s="2414" t="s">
        <v>781</v>
      </c>
      <c r="Q1329" s="2356" t="s">
        <v>782</v>
      </c>
    </row>
    <row r="1330" spans="1:17" ht="33.75">
      <c r="A1330" s="2667"/>
      <c r="B1330" s="2702" t="s">
        <v>1750</v>
      </c>
      <c r="C1330" s="2661" t="str">
        <f>'Part VIII-Threshold Criteria'!C236</f>
        <v>Equipped Fitness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33.75">
      <c r="A1331" s="2667"/>
      <c r="B1331" s="2702" t="s">
        <v>1751</v>
      </c>
      <c r="C1331" s="2661" t="str">
        <f>'Part VIII-Threshold Criteria'!C237</f>
        <v>Computer / Business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2380</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3486</v>
      </c>
      <c r="E1333" s="478"/>
      <c r="F1333" s="478"/>
      <c r="L1333" s="2354"/>
      <c r="M1333" s="2354"/>
      <c r="O1333" s="2702" t="s">
        <v>1750</v>
      </c>
      <c r="P1333" s="2667" t="str">
        <f>'Part VIII-Threshold Criteria'!P239</f>
        <v>Yes</v>
      </c>
      <c r="Q1333" s="2667">
        <f>'Part VIII-Threshold Criteria'!Q239</f>
        <v>0</v>
      </c>
    </row>
    <row r="1334" spans="1:17">
      <c r="B1334" s="2702" t="s">
        <v>1751</v>
      </c>
      <c r="C1334" s="2597" t="s">
        <v>2825</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2826</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2380</v>
      </c>
      <c r="C1336" s="2597" t="s">
        <v>2827</v>
      </c>
      <c r="E1336" s="2597"/>
      <c r="F1336" s="2597"/>
      <c r="G1336" s="2597"/>
      <c r="H1336" s="2597"/>
      <c r="I1336" s="2354"/>
      <c r="J1336" s="2354"/>
      <c r="K1336" s="2354"/>
      <c r="L1336" s="2354"/>
      <c r="M1336" s="2354"/>
      <c r="O1336" s="2702" t="s">
        <v>2380</v>
      </c>
      <c r="P1336" s="2667" t="str">
        <f>'Part VIII-Threshold Criteria'!P242</f>
        <v>Yes</v>
      </c>
      <c r="Q1336" s="2667">
        <f>'Part VIII-Threshold Criteria'!Q242</f>
        <v>0</v>
      </c>
    </row>
    <row r="1337" spans="1:17">
      <c r="A1337" s="2700"/>
      <c r="B1337" s="2702" t="s">
        <v>1561</v>
      </c>
      <c r="C1337" s="2597" t="s">
        <v>2828</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2816</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2817</v>
      </c>
      <c r="P1339" s="2667">
        <f>'Part VIII-Threshold Criteria'!P245</f>
        <v>0</v>
      </c>
      <c r="Q1339" s="2667">
        <f>'Part VIII-Threshold Criteria'!Q245</f>
        <v>0</v>
      </c>
    </row>
    <row r="1340" spans="1:17">
      <c r="A1340" s="2700" t="s">
        <v>2130</v>
      </c>
      <c r="B1340" s="478" t="s">
        <v>3687</v>
      </c>
      <c r="C1340" s="478"/>
      <c r="E1340" s="478"/>
      <c r="F1340" s="478"/>
      <c r="G1340" s="478"/>
      <c r="H1340" s="478"/>
      <c r="I1340" s="478"/>
      <c r="J1340" s="478"/>
      <c r="K1340" s="2354"/>
      <c r="L1340" s="478"/>
      <c r="M1340" s="478"/>
      <c r="O1340" s="2702" t="s">
        <v>2130</v>
      </c>
      <c r="P1340" s="2667" t="str">
        <f>'Part VIII-Threshold Criteria'!P246</f>
        <v>N/A</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3936</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3779</v>
      </c>
      <c r="D1343" s="2598"/>
      <c r="E1343" s="2598"/>
      <c r="F1343" s="2598"/>
      <c r="G1343" s="2598"/>
      <c r="H1343" s="2597"/>
      <c r="I1343" s="2659"/>
      <c r="J1343" s="2659"/>
      <c r="K1343" s="2659"/>
      <c r="L1343" s="2561"/>
      <c r="M1343" s="2561"/>
      <c r="N1343" s="2561"/>
      <c r="O1343" s="2561"/>
      <c r="P1343" s="2561"/>
      <c r="Q1343" s="2561"/>
    </row>
    <row r="1344" spans="1:17" ht="281.25">
      <c r="A1344" s="2661" t="str">
        <f>'Part VIII-Threshold Criteria'!A250</f>
        <v>The Applicant agrees to provide the required Standard site Amenities in conformance with the DCA Amenities Guidebook and the additional 2 site amenities, fitness center and computer/business center. The project is a Family tenancy.</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1879</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2799</v>
      </c>
      <c r="B1348" s="2543" t="s">
        <v>2678</v>
      </c>
      <c r="C1348" s="2543"/>
      <c r="D1348" s="2658"/>
      <c r="E1348" s="2658"/>
      <c r="F1348" s="2658"/>
      <c r="G1348" s="2658"/>
      <c r="H1348" s="2664"/>
      <c r="I1348" s="2664"/>
      <c r="J1348" s="2664"/>
      <c r="K1348" s="2664"/>
      <c r="L1348" s="2631"/>
      <c r="M1348" s="2631"/>
      <c r="O1348" s="2660" t="s">
        <v>1880</v>
      </c>
      <c r="P1348" s="2569">
        <f>'Part VIII-Threshold Criteria'!P254</f>
        <v>0</v>
      </c>
      <c r="Q1348" s="2569">
        <f>'Part VIII-Threshold Criteria'!Q254</f>
        <v>0</v>
      </c>
    </row>
    <row r="1349" spans="1:17">
      <c r="L1349" s="2631"/>
      <c r="M1349" s="2631"/>
      <c r="N1349" s="1156"/>
    </row>
    <row r="1350" spans="1:17">
      <c r="A1350" s="2700" t="s">
        <v>1998</v>
      </c>
      <c r="B1350" s="478" t="s">
        <v>1280</v>
      </c>
      <c r="D1350" s="2354"/>
      <c r="E1350" s="478"/>
      <c r="F1350" s="478"/>
      <c r="J1350" s="2702" t="s">
        <v>1998</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2000</v>
      </c>
      <c r="B1351" s="478" t="s">
        <v>2829</v>
      </c>
      <c r="D1351" s="478"/>
      <c r="E1351" s="478"/>
      <c r="F1351" s="478"/>
      <c r="J1351" s="2702" t="s">
        <v>2000</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1959</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2559</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3786</v>
      </c>
      <c r="D1354" s="478"/>
      <c r="E1354" s="478"/>
      <c r="F1354" s="478"/>
      <c r="M1354" s="478"/>
      <c r="N1354" s="2727"/>
      <c r="O1354" s="2702" t="s">
        <v>757</v>
      </c>
      <c r="P1354" s="2667">
        <f>'Part VIII-Threshold Criteria'!P260</f>
        <v>0</v>
      </c>
      <c r="Q1354" s="2667">
        <f>'Part VIII-Threshold Criteria'!Q260</f>
        <v>0</v>
      </c>
    </row>
    <row r="1355" spans="1:17">
      <c r="A1355" s="2700"/>
      <c r="B1355" s="478" t="s">
        <v>3785</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2130</v>
      </c>
      <c r="B1356" s="478" t="s">
        <v>3937</v>
      </c>
      <c r="D1356" s="478"/>
      <c r="E1356" s="478"/>
      <c r="F1356" s="478"/>
      <c r="G1356" s="478"/>
      <c r="H1356" s="478"/>
      <c r="I1356" s="2354"/>
      <c r="J1356" s="2354"/>
      <c r="K1356" s="2354"/>
      <c r="M1356" s="478"/>
      <c r="N1356" s="2727"/>
      <c r="O1356" s="2702" t="s">
        <v>2130</v>
      </c>
      <c r="P1356" s="2667">
        <f>'Part VIII-Threshold Criteria'!P262</f>
        <v>0</v>
      </c>
      <c r="Q1356" s="2667">
        <f>'Part VIII-Threshold Criteria'!Q262</f>
        <v>0</v>
      </c>
    </row>
    <row r="1357" spans="1:17" ht="12.75" customHeight="1">
      <c r="A1357" s="2700"/>
      <c r="B1357" s="2661" t="s">
        <v>3787</v>
      </c>
      <c r="C1357" s="2661"/>
      <c r="D1357" s="2661"/>
      <c r="E1357" s="2661"/>
      <c r="F1357" s="2661"/>
      <c r="G1357" s="2661"/>
      <c r="H1357" s="1156" t="s">
        <v>4163</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4164</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4165</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4166</v>
      </c>
      <c r="K1360" s="2354"/>
      <c r="M1360" s="478"/>
      <c r="N1360" s="2727"/>
      <c r="O1360" s="2702" t="s">
        <v>2380</v>
      </c>
      <c r="P1360" s="2667">
        <f>'Part VIII-Threshold Criteria'!P266</f>
        <v>0</v>
      </c>
      <c r="Q1360" s="2667">
        <f>'Part VIII-Threshold Criteria'!Q266</f>
        <v>0</v>
      </c>
    </row>
    <row r="1361" spans="1:17" ht="12.75" customHeight="1">
      <c r="A1361" s="2698" t="s">
        <v>1748</v>
      </c>
      <c r="B1361" s="2661" t="s">
        <v>4763</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3779</v>
      </c>
      <c r="D1362" s="2598"/>
      <c r="E1362" s="2598"/>
      <c r="F1362" s="2598"/>
      <c r="G1362" s="2598"/>
      <c r="H1362" s="2597"/>
      <c r="I1362" s="2659"/>
      <c r="J1362" s="2659"/>
      <c r="K1362" s="2659"/>
      <c r="L1362" s="2561"/>
      <c r="M1362" s="2561"/>
      <c r="N1362" s="2561"/>
      <c r="O1362" s="2561"/>
      <c r="P1362" s="2561"/>
      <c r="Q1362" s="2561"/>
    </row>
    <row r="1363" spans="1:17" ht="56.25">
      <c r="A1363" s="2661" t="str">
        <f>'Part VIII-Threshold Criteria'!A269</f>
        <v>The project is proposed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1879</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2266</v>
      </c>
      <c r="B1367" s="2543" t="s">
        <v>2679</v>
      </c>
      <c r="C1367" s="2543"/>
      <c r="D1367" s="2658"/>
      <c r="E1367" s="2658"/>
      <c r="F1367" s="2658"/>
      <c r="G1367" s="2658"/>
      <c r="H1367" s="2664"/>
      <c r="I1367" s="2664"/>
      <c r="J1367" s="2664"/>
      <c r="K1367" s="2664"/>
      <c r="L1367" s="2664"/>
      <c r="M1367" s="2664"/>
      <c r="O1367" s="2660" t="s">
        <v>1880</v>
      </c>
      <c r="P1367" s="2569">
        <f>'Part VIII-Threshold Criteria'!P273</f>
        <v>0</v>
      </c>
      <c r="Q1367" s="2569">
        <f>'Part VIII-Threshold Criteria'!Q273</f>
        <v>0</v>
      </c>
    </row>
    <row r="1369" spans="1:17" ht="12.75" customHeight="1">
      <c r="A1369" s="2698" t="s">
        <v>1998</v>
      </c>
      <c r="B1369" s="2661" t="s">
        <v>3939</v>
      </c>
      <c r="C1369" s="2661"/>
      <c r="D1369" s="2661"/>
      <c r="E1369" s="2661"/>
      <c r="F1369" s="2661"/>
      <c r="G1369" s="2661"/>
      <c r="H1369" s="2661"/>
      <c r="I1369" s="2661"/>
      <c r="J1369" s="2661"/>
      <c r="K1369" s="2661"/>
      <c r="L1369" s="2661"/>
      <c r="M1369" s="2661"/>
      <c r="N1369" s="2661"/>
      <c r="O1369" s="2712" t="s">
        <v>1998</v>
      </c>
      <c r="P1369" s="2713" t="str">
        <f>'Part VIII-Threshold Criteria'!P275</f>
        <v>Yes</v>
      </c>
      <c r="Q1369" s="2713">
        <f>'Part VIII-Threshold Criteria'!Q275</f>
        <v>0</v>
      </c>
    </row>
    <row r="1370" spans="1:17">
      <c r="A1370" s="2700"/>
      <c r="B1370" s="478" t="s">
        <v>3782</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2000</v>
      </c>
      <c r="B1371" s="478" t="s">
        <v>3783</v>
      </c>
      <c r="D1371" s="478"/>
      <c r="E1371" s="478"/>
      <c r="F1371" s="478"/>
      <c r="G1371" s="478"/>
      <c r="H1371" s="478"/>
      <c r="I1371" s="478"/>
      <c r="J1371" s="478"/>
      <c r="K1371" s="478"/>
      <c r="L1371" s="478"/>
      <c r="M1371" s="478"/>
      <c r="O1371" s="2702" t="s">
        <v>2000</v>
      </c>
      <c r="P1371" s="2667" t="str">
        <f>'Part VIII-Threshold Criteria'!P277</f>
        <v>Yes</v>
      </c>
      <c r="Q1371" s="2667">
        <f>'Part VIII-Threshold Criteria'!Q277</f>
        <v>0</v>
      </c>
    </row>
    <row r="1372" spans="1:17">
      <c r="A1372" s="2700" t="s">
        <v>757</v>
      </c>
      <c r="B1372" s="478" t="s">
        <v>4167</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3784</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2130</v>
      </c>
      <c r="B1374" s="478" t="s">
        <v>4168</v>
      </c>
      <c r="D1374" s="478"/>
      <c r="E1374" s="478"/>
      <c r="F1374" s="478"/>
      <c r="G1374" s="478"/>
      <c r="H1374" s="478"/>
      <c r="I1374" s="478"/>
      <c r="J1374" s="478"/>
      <c r="K1374" s="478"/>
      <c r="L1374" s="478"/>
      <c r="M1374" s="478"/>
      <c r="O1374" s="2702" t="s">
        <v>2130</v>
      </c>
      <c r="P1374" s="2667" t="str">
        <f>'Part VIII-Threshold Criteria'!P280</f>
        <v>Yes</v>
      </c>
      <c r="Q1374" s="2667">
        <f>'Part VIII-Threshold Criteria'!Q280</f>
        <v>0</v>
      </c>
    </row>
    <row r="1375" spans="1:17">
      <c r="B1375" s="2598" t="s">
        <v>3779</v>
      </c>
      <c r="D1375" s="2598"/>
      <c r="E1375" s="2598"/>
      <c r="F1375" s="2598"/>
      <c r="G1375" s="2598"/>
      <c r="H1375" s="2597"/>
      <c r="I1375" s="2659"/>
      <c r="J1375" s="2659"/>
      <c r="K1375" s="2659"/>
      <c r="L1375" s="2561"/>
      <c r="M1375" s="2561"/>
      <c r="N1375" s="2561"/>
      <c r="O1375" s="2561"/>
      <c r="P1375" s="2561"/>
      <c r="Q1375" s="2561"/>
    </row>
    <row r="1376" spans="1:17" ht="123.75">
      <c r="A1376" s="2661" t="str">
        <f>'Part VIII-Threshold Criteria'!A282</f>
        <v>Applicant agrees that the site development plan was prepared in accordance with the DCA Architectural Manual.</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1879</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4149</v>
      </c>
      <c r="B1379" s="2544" t="s">
        <v>2680</v>
      </c>
      <c r="C1379" s="2544"/>
      <c r="D1379" s="2664"/>
      <c r="E1379" s="2664"/>
      <c r="F1379" s="2664"/>
      <c r="G1379" s="2664"/>
      <c r="H1379" s="2664"/>
      <c r="I1379" s="2664"/>
      <c r="J1379" s="2664"/>
      <c r="K1379" s="2664"/>
      <c r="L1379" s="2664"/>
      <c r="M1379" s="2664"/>
      <c r="O1379" s="2660" t="s">
        <v>1880</v>
      </c>
      <c r="P1379" s="2569">
        <f>'Part VIII-Threshold Criteria'!P285</f>
        <v>0</v>
      </c>
      <c r="Q1379" s="2569">
        <f>'Part VIII-Threshold Criteria'!Q285</f>
        <v>0</v>
      </c>
    </row>
    <row r="1381" spans="1:17" ht="12.75" customHeight="1">
      <c r="A1381" s="2698" t="s">
        <v>1998</v>
      </c>
      <c r="B1381" s="2661" t="s">
        <v>2830</v>
      </c>
      <c r="C1381" s="2661"/>
      <c r="D1381" s="2661"/>
      <c r="E1381" s="2661"/>
      <c r="F1381" s="2661"/>
      <c r="G1381" s="2661"/>
      <c r="H1381" s="2661"/>
      <c r="I1381" s="2661"/>
      <c r="J1381" s="2661"/>
      <c r="K1381" s="2661"/>
      <c r="L1381" s="2661"/>
      <c r="M1381" s="2661"/>
      <c r="N1381" s="2661"/>
      <c r="O1381" s="2712" t="s">
        <v>1998</v>
      </c>
      <c r="P1381" s="2713" t="str">
        <f>'Part VIII-Threshold Criteria'!P287</f>
        <v>Agree</v>
      </c>
      <c r="Q1381" s="2713">
        <f>'Part VIII-Threshold Criteria'!Q287</f>
        <v>0</v>
      </c>
    </row>
    <row r="1382" spans="1:17" ht="12.75" customHeight="1">
      <c r="A1382" s="2698" t="s">
        <v>2000</v>
      </c>
      <c r="B1382" s="2661" t="s">
        <v>2831</v>
      </c>
      <c r="C1382" s="2661"/>
      <c r="D1382" s="2661"/>
      <c r="E1382" s="2661"/>
      <c r="F1382" s="2661"/>
      <c r="G1382" s="2661"/>
      <c r="H1382" s="2661"/>
      <c r="I1382" s="2661"/>
      <c r="J1382" s="2661"/>
      <c r="K1382" s="2661"/>
      <c r="L1382" s="2661"/>
      <c r="M1382" s="2661"/>
      <c r="N1382" s="2661"/>
      <c r="O1382" s="2712" t="s">
        <v>2000</v>
      </c>
      <c r="P1382" s="2713" t="str">
        <f>'Part VIII-Threshold Criteria'!P288</f>
        <v>Agree</v>
      </c>
      <c r="Q1382" s="2713">
        <f>'Part VIII-Threshold Criteria'!Q288</f>
        <v>0</v>
      </c>
    </row>
    <row r="1383" spans="1:17">
      <c r="B1383" s="2598" t="s">
        <v>3779</v>
      </c>
      <c r="D1383" s="2598"/>
      <c r="E1383" s="2598"/>
      <c r="F1383" s="2598"/>
      <c r="G1383" s="2598"/>
      <c r="H1383" s="2597"/>
      <c r="I1383" s="2659"/>
      <c r="J1383" s="2659"/>
      <c r="K1383" s="2659"/>
      <c r="L1383" s="2561"/>
      <c r="M1383" s="2561"/>
      <c r="N1383" s="2561"/>
      <c r="O1383" s="2561"/>
      <c r="P1383" s="2561"/>
      <c r="Q1383" s="2561"/>
    </row>
    <row r="1384" spans="1:17" ht="191.25">
      <c r="A1384" s="2661" t="str">
        <f>'Part VIII-Threshold Criteria'!A290</f>
        <v>Applicant agrees the project will achieve the minimum standard energy efficiency and sustainable building practices set forth in the QAP and DCA Architectural Manual.</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1879</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4150</v>
      </c>
      <c r="B1387" s="2544" t="s">
        <v>2681</v>
      </c>
      <c r="C1387" s="2728"/>
      <c r="D1387" s="2729"/>
      <c r="E1387" s="2664"/>
      <c r="F1387" s="2664"/>
      <c r="G1387" s="2664"/>
      <c r="H1387" s="2664"/>
      <c r="I1387" s="2664"/>
      <c r="J1387" s="2664"/>
      <c r="K1387" s="2664"/>
      <c r="L1387" s="2664"/>
      <c r="M1387" s="2664"/>
      <c r="O1387" s="2660" t="s">
        <v>1880</v>
      </c>
      <c r="P1387" s="2569">
        <f>'Part VIII-Threshold Criteria'!P293</f>
        <v>0</v>
      </c>
      <c r="Q1387" s="2569">
        <f>'Part VIII-Threshold Criteria'!Q293</f>
        <v>0</v>
      </c>
    </row>
    <row r="1388" spans="1:17">
      <c r="A1388" s="2585" t="s">
        <v>1998</v>
      </c>
      <c r="B1388" s="2544" t="s">
        <v>4764</v>
      </c>
    </row>
    <row r="1389" spans="1:17" ht="12.75" customHeight="1">
      <c r="A1389" s="2698"/>
      <c r="B1389" s="2712" t="s">
        <v>1750</v>
      </c>
      <c r="C1389" s="2661" t="s">
        <v>3941</v>
      </c>
      <c r="D1389" s="2661"/>
      <c r="E1389" s="2661"/>
      <c r="F1389" s="2661"/>
      <c r="G1389" s="2661"/>
      <c r="H1389" s="2661"/>
      <c r="I1389" s="2661"/>
      <c r="J1389" s="2661"/>
      <c r="K1389" s="2661"/>
      <c r="L1389" s="2661"/>
      <c r="M1389" s="2661"/>
      <c r="N1389" s="2661"/>
      <c r="O1389" s="2712" t="s">
        <v>2743</v>
      </c>
      <c r="P1389" s="2713" t="str">
        <f>'Part VIII-Threshold Criteria'!P295</f>
        <v>Yes</v>
      </c>
      <c r="Q1389" s="2713">
        <f>'Part VIII-Threshold Criteria'!Q295</f>
        <v>0</v>
      </c>
    </row>
    <row r="1390" spans="1:17" ht="12.75" customHeight="1">
      <c r="A1390" s="2698"/>
      <c r="B1390" s="2712" t="s">
        <v>1751</v>
      </c>
      <c r="C1390" s="2661" t="s">
        <v>3942</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3940</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2000</v>
      </c>
      <c r="B1392" s="2544" t="s">
        <v>3907</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4765</v>
      </c>
      <c r="D1393" s="2661"/>
      <c r="E1393" s="2661"/>
      <c r="F1393" s="2661"/>
      <c r="G1393" s="2661"/>
      <c r="H1393" s="2661"/>
      <c r="I1393" s="2686"/>
      <c r="J1393" s="2669" t="s">
        <v>3822</v>
      </c>
      <c r="K1393" s="2724"/>
      <c r="L1393" s="2724"/>
      <c r="M1393" s="2731" t="s">
        <v>3789</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3790</v>
      </c>
      <c r="N1394" s="2659" t="s">
        <v>3821</v>
      </c>
      <c r="O1394" s="2350"/>
      <c r="P1394" s="2372"/>
      <c r="Q1394" s="2350"/>
    </row>
    <row r="1395" spans="1:17">
      <c r="A1395" s="2353"/>
      <c r="B1395" s="2350"/>
      <c r="C1395" s="2661"/>
      <c r="D1395" s="2661"/>
      <c r="E1395" s="2661"/>
      <c r="F1395" s="2661"/>
      <c r="G1395" s="2661"/>
      <c r="H1395" s="2661"/>
      <c r="I1395" s="478" t="s">
        <v>4170</v>
      </c>
      <c r="J1395" s="2350"/>
      <c r="K1395" s="2732">
        <f>'Part VIII-Threshold Criteria'!K301</f>
        <v>3</v>
      </c>
      <c r="L1395" s="2351" t="str">
        <f>IF(K1395&lt;M1395,"Check!!!","")</f>
        <v/>
      </c>
      <c r="M1395" s="2733">
        <f>'Part VIII-Threshold Criteria'!M301</f>
        <v>3</v>
      </c>
      <c r="N1395" s="2734">
        <f>'DCA Underwriting Assumptions'!$Q$136</f>
        <v>0.05</v>
      </c>
      <c r="O1395" s="2702" t="s">
        <v>3663</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4766</v>
      </c>
      <c r="D1397" s="2661"/>
      <c r="E1397" s="2661"/>
      <c r="F1397" s="2661"/>
      <c r="G1397" s="2661"/>
      <c r="H1397" s="2661"/>
      <c r="I1397" s="2735" t="s">
        <v>4171</v>
      </c>
      <c r="J1397" s="2350"/>
      <c r="K1397" s="2732">
        <f>'Part VIII-Threshold Criteria'!K303</f>
        <v>2</v>
      </c>
      <c r="L1397" s="2351" t="str">
        <f>IF(K1397&lt;M1397,"Check!!!","")</f>
        <v/>
      </c>
      <c r="M1397" s="2733">
        <f>'Part VIII-Threshold Criteria'!M303</f>
        <v>2</v>
      </c>
      <c r="N1397" s="2734">
        <f>'DCA Underwriting Assumptions'!$Q$137</f>
        <v>0.4</v>
      </c>
      <c r="O1397" s="2702" t="s">
        <v>2132</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4767</v>
      </c>
      <c r="D1399" s="2661"/>
      <c r="E1399" s="2661"/>
      <c r="F1399" s="2661"/>
      <c r="G1399" s="2661"/>
      <c r="H1399" s="2661"/>
      <c r="I1399" s="478" t="s">
        <v>4172</v>
      </c>
      <c r="J1399" s="2350"/>
      <c r="K1399" s="2732">
        <f>'Part VIII-Threshold Criteria'!K305</f>
        <v>1</v>
      </c>
      <c r="L1399" s="2351" t="str">
        <f>IF(K1399&lt;M1399,"Check!!!","")</f>
        <v/>
      </c>
      <c r="M1399" s="2733">
        <f>'Part VIII-Threshold Criteria'!M305</f>
        <v>1</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3908</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3665</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3666</v>
      </c>
      <c r="C1404" s="2354"/>
      <c r="D1404" s="2686"/>
      <c r="E1404" s="2686"/>
      <c r="F1404" s="2686"/>
      <c r="G1404" s="2686"/>
      <c r="H1404" s="2686"/>
      <c r="I1404" s="2686" t="s">
        <v>3788</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3664</v>
      </c>
      <c r="D1405" s="2661"/>
      <c r="E1405" s="2661"/>
      <c r="F1405" s="2661"/>
      <c r="G1405" s="2661"/>
      <c r="H1405" s="2661"/>
      <c r="I1405" s="2661"/>
      <c r="J1405" s="2661"/>
      <c r="K1405" s="2661"/>
      <c r="L1405" s="2661"/>
      <c r="M1405" s="2661"/>
      <c r="N1405" s="2661"/>
      <c r="O1405" s="2712" t="s">
        <v>3669</v>
      </c>
      <c r="P1405" s="2713" t="str">
        <f>'Part VIII-Threshold Criteria'!P311</f>
        <v>Yes</v>
      </c>
      <c r="Q1405" s="2713">
        <f>'Part VIII-Threshold Criteria'!Q311</f>
        <v>0</v>
      </c>
    </row>
    <row r="1406" spans="1:17" ht="12.75" customHeight="1">
      <c r="A1406" s="2678"/>
      <c r="B1406" s="2712" t="s">
        <v>1751</v>
      </c>
      <c r="C1406" s="2661" t="s">
        <v>3709</v>
      </c>
      <c r="D1406" s="2661"/>
      <c r="E1406" s="2661"/>
      <c r="F1406" s="2661"/>
      <c r="G1406" s="2661"/>
      <c r="H1406" s="2661"/>
      <c r="I1406" s="2661"/>
      <c r="J1406" s="2661"/>
      <c r="K1406" s="2661"/>
      <c r="L1406" s="2661"/>
      <c r="M1406" s="2661"/>
      <c r="N1406" s="2661"/>
      <c r="O1406" s="2712" t="s">
        <v>3670</v>
      </c>
      <c r="P1406" s="2713" t="str">
        <f>'Part VIII-Threshold Criteria'!P312</f>
        <v>Yes</v>
      </c>
      <c r="Q1406" s="2713">
        <f>'Part VIII-Threshold Criteria'!Q312</f>
        <v>0</v>
      </c>
    </row>
    <row r="1407" spans="1:17" ht="12.75" customHeight="1">
      <c r="A1407" s="2678"/>
      <c r="B1407" s="2712" t="s">
        <v>1752</v>
      </c>
      <c r="C1407" s="2661" t="s">
        <v>3667</v>
      </c>
      <c r="D1407" s="2661"/>
      <c r="E1407" s="2661"/>
      <c r="F1407" s="2661"/>
      <c r="G1407" s="2661"/>
      <c r="H1407" s="2661"/>
      <c r="I1407" s="2661"/>
      <c r="J1407" s="2661"/>
      <c r="K1407" s="2661"/>
      <c r="L1407" s="2661"/>
      <c r="M1407" s="2661"/>
      <c r="N1407" s="2661"/>
      <c r="O1407" s="2712" t="s">
        <v>3671</v>
      </c>
      <c r="P1407" s="2713" t="str">
        <f>'Part VIII-Threshold Criteria'!P313</f>
        <v>Yes</v>
      </c>
      <c r="Q1407" s="2713">
        <f>'Part VIII-Threshold Criteria'!Q313</f>
        <v>0</v>
      </c>
    </row>
    <row r="1408" spans="1:17" ht="12.75" customHeight="1">
      <c r="A1408" s="2678"/>
      <c r="B1408" s="2712" t="s">
        <v>2380</v>
      </c>
      <c r="C1408" s="2661" t="s">
        <v>3668</v>
      </c>
      <c r="D1408" s="2661"/>
      <c r="E1408" s="2661"/>
      <c r="F1408" s="2661"/>
      <c r="G1408" s="2661"/>
      <c r="H1408" s="2661"/>
      <c r="I1408" s="2661"/>
      <c r="J1408" s="2661"/>
      <c r="K1408" s="2661"/>
      <c r="L1408" s="2661"/>
      <c r="M1408" s="2661"/>
      <c r="N1408" s="2661"/>
      <c r="O1408" s="2712" t="s">
        <v>3672</v>
      </c>
      <c r="P1408" s="2713" t="str">
        <f>'Part VIII-Threshold Criteria'!P314</f>
        <v>Yes</v>
      </c>
      <c r="Q1408" s="2713">
        <f>'Part VIII-Threshold Criteria'!Q314</f>
        <v>0</v>
      </c>
    </row>
    <row r="1409" spans="1:17">
      <c r="B1409" s="2598" t="s">
        <v>3779</v>
      </c>
      <c r="D1409" s="2598"/>
      <c r="E1409" s="2598"/>
      <c r="F1409" s="2598"/>
      <c r="G1409" s="2598"/>
      <c r="H1409" s="2597"/>
      <c r="I1409" s="2659"/>
      <c r="J1409" s="2659"/>
      <c r="K1409" s="2659"/>
      <c r="L1409" s="2561"/>
      <c r="M1409" s="2561"/>
      <c r="N1409" s="2561"/>
      <c r="O1409" s="2561"/>
      <c r="P1409" s="2561"/>
      <c r="Q1409" s="2561"/>
    </row>
    <row r="1410" spans="1:17" ht="67.5">
      <c r="A1410" s="2661" t="str">
        <f>'Part VIII-Threshold Criteria'!A316</f>
        <v>The applicant will meet all required accessibility standards.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1879</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4148</v>
      </c>
      <c r="B1413" s="2543" t="s">
        <v>2682</v>
      </c>
      <c r="C1413" s="2543"/>
      <c r="D1413" s="2543"/>
      <c r="E1413" s="2543"/>
      <c r="F1413" s="2543"/>
      <c r="G1413" s="2543"/>
      <c r="H1413" s="2664"/>
      <c r="I1413" s="2664"/>
      <c r="J1413" s="2664"/>
      <c r="K1413" s="2664"/>
      <c r="L1413" s="2664"/>
      <c r="M1413" s="2664"/>
      <c r="O1413" s="2660" t="s">
        <v>1880</v>
      </c>
      <c r="P1413" s="2569">
        <f>'Part VIII-Threshold Criteria'!P319</f>
        <v>0</v>
      </c>
      <c r="Q1413" s="2569">
        <f>'Part VIII-Threshold Criteria'!Q319</f>
        <v>0</v>
      </c>
    </row>
    <row r="1414" spans="1:17">
      <c r="B1414" s="1156" t="s">
        <v>2267</v>
      </c>
      <c r="P1414" s="2667" t="str">
        <f>'Part VIII-Threshold Criteria'!P320</f>
        <v>No</v>
      </c>
      <c r="Q1414" s="2667">
        <f>'Part VIII-Threshold Criteria'!Q320</f>
        <v>0</v>
      </c>
    </row>
    <row r="1415" spans="1:17">
      <c r="B1415" s="2721" t="s">
        <v>2226</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1998</v>
      </c>
      <c r="B1416" s="2694" t="s">
        <v>4768</v>
      </c>
      <c r="D1416" s="2597"/>
      <c r="E1416" s="2597"/>
      <c r="F1416" s="2597"/>
      <c r="G1416" s="2597"/>
      <c r="H1416" s="2597"/>
      <c r="I1416" s="2597"/>
      <c r="J1416" s="2597"/>
      <c r="K1416" s="2597"/>
      <c r="L1416" s="2597"/>
      <c r="M1416" s="2597"/>
      <c r="N1416" s="2712"/>
    </row>
    <row r="1417" spans="1:17" ht="12.75" customHeight="1">
      <c r="B1417" s="2661" t="s">
        <v>2898</v>
      </c>
      <c r="C1417" s="2661"/>
      <c r="D1417" s="2661"/>
      <c r="E1417" s="2661"/>
      <c r="F1417" s="2661"/>
      <c r="G1417" s="2661"/>
      <c r="H1417" s="2661"/>
      <c r="I1417" s="2661"/>
      <c r="J1417" s="2661"/>
      <c r="K1417" s="2661"/>
      <c r="L1417" s="2661"/>
      <c r="M1417" s="2661"/>
      <c r="N1417" s="2661"/>
      <c r="O1417" s="2712" t="s">
        <v>1998</v>
      </c>
      <c r="P1417" s="2713">
        <f>'Part VIII-Threshold Criteria'!P323</f>
        <v>0</v>
      </c>
      <c r="Q1417" s="2713">
        <f>'Part VIII-Threshold Criteria'!Q323</f>
        <v>0</v>
      </c>
    </row>
    <row r="1418" spans="1:17">
      <c r="A1418" s="2698" t="s">
        <v>2000</v>
      </c>
      <c r="B1418" s="2658" t="s">
        <v>464</v>
      </c>
      <c r="D1418" s="2658"/>
      <c r="E1418" s="2658"/>
      <c r="F1418" s="2658"/>
      <c r="G1418" s="2658"/>
      <c r="H1418" s="2658"/>
      <c r="I1418" s="2658"/>
      <c r="J1418" s="2658"/>
      <c r="K1418" s="2658"/>
      <c r="L1418" s="2658"/>
      <c r="M1418" s="2658"/>
      <c r="O1418" s="2712" t="s">
        <v>2000</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4769</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3779</v>
      </c>
      <c r="D1426" s="2598"/>
      <c r="E1426" s="2598"/>
      <c r="F1426" s="2598"/>
      <c r="G1426" s="2598"/>
      <c r="H1426" s="2597"/>
      <c r="I1426" s="2659"/>
      <c r="J1426" s="2659"/>
      <c r="K1426" s="2659"/>
      <c r="L1426" s="2561"/>
      <c r="M1426" s="2561"/>
      <c r="N1426" s="2561"/>
      <c r="O1426" s="2561"/>
      <c r="P1426" s="2561"/>
      <c r="Q1426" s="2561"/>
    </row>
    <row r="1427" spans="1:17" ht="78.75">
      <c r="A1427" s="2661" t="str">
        <f>'Part VIII-Threshold Criteria'!A333</f>
        <v>Applicant will comply with Architectural Design and Quality Standards</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1879</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4151</v>
      </c>
      <c r="B1430" s="2544" t="s">
        <v>4190</v>
      </c>
      <c r="C1430" s="2544"/>
      <c r="D1430" s="2664"/>
      <c r="E1430" s="2664"/>
      <c r="F1430" s="2664"/>
      <c r="G1430" s="2664"/>
      <c r="H1430" s="2664"/>
      <c r="O1430" s="2660" t="s">
        <v>1880</v>
      </c>
      <c r="P1430" s="2569">
        <f>'Part VIII-Threshold Criteria'!P336</f>
        <v>0</v>
      </c>
      <c r="Q1430" s="2569">
        <f>'Part VIII-Threshold Criteria'!Q336</f>
        <v>0</v>
      </c>
    </row>
    <row r="1431" spans="1:17">
      <c r="A1431" s="2700" t="s">
        <v>1998</v>
      </c>
      <c r="B1431" s="1156" t="s">
        <v>3946</v>
      </c>
      <c r="O1431" s="2712" t="s">
        <v>1998</v>
      </c>
      <c r="P1431" s="2667" t="str">
        <f>'Part VIII-Threshold Criteria'!P337</f>
        <v>Yes</v>
      </c>
      <c r="Q1431" s="2667">
        <f>'Part VIII-Threshold Criteria'!Q337</f>
        <v>0</v>
      </c>
    </row>
    <row r="1432" spans="1:17">
      <c r="A1432" s="2698" t="s">
        <v>2000</v>
      </c>
      <c r="B1432" s="1156" t="s">
        <v>4135</v>
      </c>
      <c r="O1432" s="2712" t="s">
        <v>2000</v>
      </c>
      <c r="P1432" s="2667" t="str">
        <f>'Part VIII-Threshold Criteria'!P338</f>
        <v>Yes</v>
      </c>
      <c r="Q1432" s="2667">
        <f>'Part VIII-Threshold Criteria'!Q338</f>
        <v>0</v>
      </c>
    </row>
    <row r="1433" spans="1:17">
      <c r="A1433" s="2698" t="s">
        <v>757</v>
      </c>
      <c r="B1433" s="1156" t="s">
        <v>2365</v>
      </c>
      <c r="O1433" s="2712" t="s">
        <v>757</v>
      </c>
      <c r="P1433" s="2667" t="str">
        <f>'Part VIII-Threshold Criteria'!P339</f>
        <v>No</v>
      </c>
      <c r="Q1433" s="2667">
        <f>'Part VIII-Threshold Criteria'!Q339</f>
        <v>0</v>
      </c>
    </row>
    <row r="1434" spans="1:17">
      <c r="A1434" s="2700" t="s">
        <v>2130</v>
      </c>
      <c r="B1434" s="1156" t="s">
        <v>3871</v>
      </c>
      <c r="O1434" s="2702" t="s">
        <v>2130</v>
      </c>
      <c r="P1434" s="2667" t="str">
        <f>'Part VIII-Threshold Criteria'!P340</f>
        <v>No</v>
      </c>
      <c r="Q1434" s="2667">
        <f>'Part VIII-Threshold Criteria'!Q340</f>
        <v>0</v>
      </c>
    </row>
    <row r="1435" spans="1:17">
      <c r="A1435" s="2698" t="s">
        <v>1748</v>
      </c>
      <c r="B1435" s="1156" t="s">
        <v>2901</v>
      </c>
      <c r="N1435" s="2712" t="s">
        <v>1748</v>
      </c>
      <c r="O1435" s="2367" t="str">
        <f>'Part VIII-Threshold Criteria'!O341</f>
        <v>Probationary Certifying GP/Dev</v>
      </c>
      <c r="P1435" s="2367">
        <f>'Part VIII-Threshold Criteria'!P341</f>
        <v>0</v>
      </c>
      <c r="Q1435" s="2367">
        <f>'Part VIII-Threshold Criteria'!Q341</f>
        <v>0</v>
      </c>
    </row>
    <row r="1436" spans="1:17">
      <c r="A1436" s="2698" t="s">
        <v>1749</v>
      </c>
      <c r="B1436" s="2718" t="s">
        <v>2366</v>
      </c>
      <c r="N1436" s="2712" t="s">
        <v>1749</v>
      </c>
      <c r="O1436" s="2367" t="str">
        <f>'Part VIII-Threshold Criteria'!O342</f>
        <v>&lt;&lt; Select Designation &gt;&gt;</v>
      </c>
      <c r="P1436" s="2367">
        <f>'Part VIII-Threshold Criteria'!P342</f>
        <v>0</v>
      </c>
      <c r="Q1436" s="2367">
        <f>'Part VIII-Threshold Criteria'!Q342</f>
        <v>0</v>
      </c>
    </row>
    <row r="1437" spans="1:17">
      <c r="B1437" s="2598" t="s">
        <v>3779</v>
      </c>
      <c r="D1437" s="2598"/>
      <c r="E1437" s="2598"/>
      <c r="F1437" s="2598"/>
      <c r="G1437" s="2598"/>
      <c r="H1437" s="2597"/>
      <c r="I1437" s="2659"/>
      <c r="J1437" s="2659"/>
      <c r="K1437" s="2659"/>
      <c r="L1437" s="2561"/>
      <c r="M1437" s="2561"/>
      <c r="N1437" s="2561"/>
      <c r="O1437" s="2561"/>
      <c r="P1437" s="2561"/>
      <c r="Q1437" s="2561"/>
    </row>
    <row r="1438" spans="1:17" ht="123.75">
      <c r="A1438" s="2661" t="str">
        <f>'Part VIII-Threshold Criteria'!A344</f>
        <v>The project team submitted a pre-application and the status was indicated as "Probationary Certifying GP/Dev"</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1879</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4152</v>
      </c>
      <c r="B1441" s="2543" t="s">
        <v>2683</v>
      </c>
      <c r="C1441" s="2543"/>
      <c r="D1441" s="2658"/>
      <c r="E1441" s="2664"/>
      <c r="F1441" s="2664"/>
      <c r="G1441" s="2664"/>
      <c r="H1441" s="2664"/>
      <c r="I1441" s="2664"/>
      <c r="J1441" s="2664"/>
      <c r="K1441" s="2664"/>
      <c r="L1441" s="2664"/>
      <c r="M1441" s="2664"/>
      <c r="O1441" s="2660" t="s">
        <v>1880</v>
      </c>
      <c r="P1441" s="2569">
        <f>'Part VIII-Threshold Criteria'!P347</f>
        <v>0</v>
      </c>
      <c r="Q1441" s="2569">
        <f>'Part VIII-Threshold Criteria'!Q347</f>
        <v>0</v>
      </c>
    </row>
    <row r="1442" spans="1:17">
      <c r="A1442" s="2698" t="s">
        <v>1998</v>
      </c>
      <c r="B1442" s="2686" t="s">
        <v>3681</v>
      </c>
      <c r="D1442" s="2686"/>
      <c r="E1442" s="2686"/>
      <c r="F1442" s="2686"/>
      <c r="G1442" s="2686"/>
      <c r="H1442" s="2686"/>
      <c r="I1442" s="2686"/>
      <c r="J1442" s="2686"/>
      <c r="K1442" s="2686"/>
      <c r="L1442" s="2686"/>
      <c r="M1442" s="2686"/>
      <c r="N1442" s="2686"/>
      <c r="O1442" s="2712" t="s">
        <v>1998</v>
      </c>
      <c r="P1442" s="2667" t="str">
        <f>'Part VIII-Threshold Criteria'!P348</f>
        <v>Yes</v>
      </c>
      <c r="Q1442" s="2667">
        <f>'Part VIII-Threshold Criteria'!Q348</f>
        <v>0</v>
      </c>
    </row>
    <row r="1443" spans="1:17">
      <c r="A1443" s="2698" t="s">
        <v>2000</v>
      </c>
      <c r="B1443" s="2686" t="s">
        <v>3880</v>
      </c>
      <c r="D1443" s="2686"/>
      <c r="E1443" s="2686"/>
      <c r="F1443" s="2686"/>
      <c r="G1443" s="2686"/>
      <c r="H1443" s="2686"/>
      <c r="I1443" s="2686"/>
      <c r="J1443" s="2686"/>
      <c r="K1443" s="2686"/>
      <c r="L1443" s="2686"/>
      <c r="M1443" s="2686"/>
      <c r="N1443" s="2686"/>
      <c r="O1443" s="2712" t="s">
        <v>2000</v>
      </c>
      <c r="P1443" s="2667" t="str">
        <f>'Part VIII-Threshold Criteria'!P349</f>
        <v>No</v>
      </c>
      <c r="Q1443" s="2667">
        <f>'Part VIII-Threshold Criteria'!Q349</f>
        <v>0</v>
      </c>
    </row>
    <row r="1444" spans="1:17" ht="12.75" customHeight="1">
      <c r="A1444" s="2698" t="s">
        <v>757</v>
      </c>
      <c r="B1444" s="2661" t="s">
        <v>4136</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3779</v>
      </c>
      <c r="D1445" s="2598"/>
      <c r="E1445" s="2598"/>
      <c r="F1445" s="2598"/>
      <c r="G1445" s="2598"/>
      <c r="H1445" s="2597"/>
      <c r="I1445" s="2659"/>
      <c r="J1445" s="2659"/>
      <c r="K1445" s="2659"/>
      <c r="L1445" s="2561"/>
      <c r="M1445" s="2561"/>
      <c r="N1445" s="2561"/>
      <c r="O1445" s="2561"/>
      <c r="P1445" s="2561"/>
      <c r="Q1445" s="2561"/>
    </row>
    <row r="1446" spans="1:17" ht="123.75">
      <c r="A1446" s="2661" t="str">
        <f>'Part VIII-Threshold Criteria'!A352</f>
        <v>The Applicant submitted a pre-application and there have been no changes to the project team.</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1879</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4155</v>
      </c>
      <c r="B1450" s="2543" t="s">
        <v>4122</v>
      </c>
      <c r="C1450" s="2543"/>
      <c r="D1450" s="2543"/>
      <c r="E1450" s="2543"/>
      <c r="F1450" s="2543"/>
      <c r="G1450" s="2543"/>
      <c r="H1450" s="2664"/>
      <c r="I1450" s="2664"/>
      <c r="J1450" s="2664"/>
      <c r="K1450" s="2664"/>
      <c r="L1450" s="2664"/>
      <c r="M1450" s="2664"/>
      <c r="O1450" s="2660" t="s">
        <v>1880</v>
      </c>
      <c r="P1450" s="2569">
        <f>'Part VIII-Threshold Criteria'!P356</f>
        <v>0</v>
      </c>
      <c r="Q1450" s="2569">
        <f>'Part VIII-Threshold Criteria'!Q356</f>
        <v>0</v>
      </c>
    </row>
    <row r="1451" spans="1:17">
      <c r="A1451" s="2700" t="s">
        <v>1998</v>
      </c>
      <c r="B1451" s="478" t="s">
        <v>4123</v>
      </c>
      <c r="D1451" s="2559"/>
      <c r="E1451" s="2559"/>
      <c r="F1451" s="2559"/>
      <c r="G1451" s="2559"/>
      <c r="H1451" s="2702" t="s">
        <v>1998</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2000</v>
      </c>
      <c r="B1452" s="478" t="s">
        <v>4124</v>
      </c>
      <c r="D1452" s="2559"/>
      <c r="E1452" s="2559"/>
      <c r="F1452" s="2559"/>
      <c r="G1452" s="2559"/>
      <c r="H1452" s="2712" t="s">
        <v>2000</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4114</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2130</v>
      </c>
      <c r="B1454" s="2661" t="s">
        <v>4115</v>
      </c>
      <c r="C1454" s="2661"/>
      <c r="D1454" s="2661"/>
      <c r="E1454" s="2661"/>
      <c r="F1454" s="2661"/>
      <c r="G1454" s="2661"/>
      <c r="H1454" s="2661"/>
      <c r="I1454" s="2661"/>
      <c r="J1454" s="2661"/>
      <c r="K1454" s="2661"/>
      <c r="L1454" s="2661"/>
      <c r="M1454" s="2661"/>
      <c r="N1454" s="2661"/>
      <c r="O1454" s="2702" t="s">
        <v>2130</v>
      </c>
      <c r="P1454" s="2713">
        <f>'Part VIII-Threshold Criteria'!P360</f>
        <v>0</v>
      </c>
      <c r="Q1454" s="2713">
        <f>'Part VIII-Threshold Criteria'!Q360</f>
        <v>0</v>
      </c>
    </row>
    <row r="1455" spans="1:17">
      <c r="A1455" s="2698" t="s">
        <v>1748</v>
      </c>
      <c r="B1455" s="478" t="s">
        <v>4116</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4117</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1961</v>
      </c>
      <c r="B1457" s="2686" t="s">
        <v>4118</v>
      </c>
      <c r="C1457" s="2678"/>
      <c r="D1457" s="2661"/>
      <c r="E1457" s="2661"/>
      <c r="F1457" s="2661"/>
      <c r="G1457" s="2661"/>
      <c r="H1457" s="2661"/>
      <c r="I1457" s="2661"/>
      <c r="J1457" s="2661"/>
      <c r="K1457" s="2661"/>
      <c r="L1457" s="2661"/>
      <c r="M1457" s="2661"/>
      <c r="N1457" s="2661"/>
      <c r="O1457" s="2712" t="s">
        <v>1961</v>
      </c>
      <c r="P1457" s="2713">
        <f>'Part VIII-Threshold Criteria'!P363</f>
        <v>0</v>
      </c>
      <c r="Q1457" s="2713">
        <f>'Part VIII-Threshold Criteria'!Q363</f>
        <v>0</v>
      </c>
    </row>
    <row r="1458" spans="1:17">
      <c r="A1458" s="2678"/>
      <c r="B1458" s="2678"/>
      <c r="C1458" s="2721" t="s">
        <v>4770</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3390</v>
      </c>
      <c r="B1459" s="2661" t="s">
        <v>4119</v>
      </c>
      <c r="C1459" s="2661"/>
      <c r="D1459" s="2661"/>
      <c r="E1459" s="2661"/>
      <c r="F1459" s="2661"/>
      <c r="G1459" s="2661"/>
      <c r="H1459" s="2661"/>
      <c r="I1459" s="2661"/>
      <c r="J1459" s="2661"/>
      <c r="K1459" s="2661"/>
      <c r="L1459" s="2661"/>
      <c r="M1459" s="2661"/>
      <c r="N1459" s="2661"/>
      <c r="O1459" s="2712" t="s">
        <v>3390</v>
      </c>
      <c r="P1459" s="2713">
        <f>'Part VIII-Threshold Criteria'!P365</f>
        <v>0</v>
      </c>
      <c r="Q1459" s="2713">
        <f>'Part VIII-Threshold Criteria'!Q365</f>
        <v>0</v>
      </c>
    </row>
    <row r="1460" spans="1:17" ht="12.75" customHeight="1">
      <c r="A1460" s="2698" t="s">
        <v>622</v>
      </c>
      <c r="B1460" s="2661" t="s">
        <v>4120</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3779</v>
      </c>
      <c r="D1461" s="2598"/>
      <c r="E1461" s="2598"/>
      <c r="F1461" s="2598"/>
      <c r="G1461" s="2598"/>
      <c r="H1461" s="2597"/>
      <c r="I1461" s="2659"/>
      <c r="J1461" s="2659"/>
      <c r="K1461" s="2659"/>
      <c r="L1461" s="2561"/>
      <c r="M1461" s="2561"/>
      <c r="N1461" s="2561"/>
      <c r="O1461" s="2561"/>
      <c r="P1461" s="2561"/>
      <c r="Q1461" s="2561"/>
    </row>
    <row r="1462" spans="1:17" ht="45">
      <c r="A1462" s="2661" t="str">
        <f>'Part VIII-Threshold Criteria'!A368</f>
        <v>The Applicant is not a nonprofit</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1879</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4156</v>
      </c>
      <c r="B1466" s="2543" t="s">
        <v>3947</v>
      </c>
      <c r="C1466" s="2543"/>
      <c r="D1466" s="2543"/>
      <c r="E1466" s="2543"/>
      <c r="F1466" s="2543"/>
      <c r="G1466" s="2543"/>
      <c r="H1466" s="2664"/>
      <c r="I1466" s="2664"/>
      <c r="J1466" s="2664"/>
      <c r="O1466" s="2660" t="s">
        <v>1880</v>
      </c>
      <c r="P1466" s="2569">
        <f>'Part VIII-Threshold Criteria'!P372</f>
        <v>0</v>
      </c>
      <c r="Q1466" s="2569">
        <f>'Part VIII-Threshold Criteria'!Q372</f>
        <v>0</v>
      </c>
    </row>
    <row r="1467" spans="1:17">
      <c r="A1467" s="2700" t="s">
        <v>1998</v>
      </c>
      <c r="B1467" s="2658" t="s">
        <v>3949</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4173</v>
      </c>
      <c r="D1468" s="478"/>
      <c r="E1468" s="478"/>
      <c r="F1468" s="478"/>
      <c r="G1468" s="2658">
        <f>'Part VIII-Threshold Criteria'!G374</f>
        <v>0</v>
      </c>
      <c r="H1468" s="2658">
        <f>'Part VIII-Threshold Criteria'!H374</f>
        <v>0</v>
      </c>
      <c r="I1468" s="2658">
        <f>'Part VIII-Threshold Criteria'!I374</f>
        <v>0</v>
      </c>
      <c r="J1468" s="2659" t="s">
        <v>3956</v>
      </c>
      <c r="K1468" s="2658">
        <f>'Part VIII-Threshold Criteria'!K374</f>
        <v>0</v>
      </c>
      <c r="L1468" s="2658">
        <f>'Part VIII-Threshold Criteria'!L374</f>
        <v>0</v>
      </c>
      <c r="M1468" s="2658">
        <f>'Part VIII-Threshold Criteria'!M374</f>
        <v>0</v>
      </c>
      <c r="N1468" s="478" t="s">
        <v>3948</v>
      </c>
      <c r="O1468" s="478"/>
      <c r="P1468" s="2658">
        <f>'Part VIII-Threshold Criteria'!P374</f>
        <v>0</v>
      </c>
      <c r="Q1468" s="2658">
        <f>'Part VIII-Threshold Criteria'!Q374</f>
        <v>0</v>
      </c>
    </row>
    <row r="1469" spans="1:17">
      <c r="A1469" s="2354"/>
      <c r="B1469" s="478" t="s">
        <v>1751</v>
      </c>
      <c r="C1469" s="478" t="s">
        <v>3950</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3951</v>
      </c>
      <c r="D1470" s="2553"/>
      <c r="E1470" s="2626"/>
      <c r="F1470" s="2703" t="str">
        <f>'Part VIII-Threshold Criteria'!F376</f>
        <v>Rural</v>
      </c>
      <c r="G1470" s="2703">
        <f>'Part VIII-Threshold Criteria'!G376</f>
        <v>0</v>
      </c>
      <c r="H1470" s="2591" t="s">
        <v>3952</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2380</v>
      </c>
      <c r="C1471" s="478" t="s">
        <v>3953</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3963</v>
      </c>
      <c r="O1471" s="2702"/>
      <c r="P1471" s="2667">
        <f>'Part VIII-Threshold Criteria'!P377</f>
        <v>0</v>
      </c>
      <c r="Q1471" s="2667">
        <f>'Part VIII-Threshold Criteria'!Q377</f>
        <v>0</v>
      </c>
    </row>
    <row r="1472" spans="1:17">
      <c r="A1472" s="2700"/>
      <c r="B1472" s="478" t="s">
        <v>1561</v>
      </c>
      <c r="C1472" s="478" t="s">
        <v>3954</v>
      </c>
      <c r="D1472" s="2354"/>
      <c r="E1472" s="478"/>
      <c r="F1472" s="2738">
        <f>'Part VIII-Threshold Criteria'!F378</f>
        <v>850000</v>
      </c>
      <c r="G1472" s="2738">
        <f>'Part VIII-Threshold Criteria'!G378</f>
        <v>0</v>
      </c>
      <c r="H1472" s="478" t="s">
        <v>3955</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3957</v>
      </c>
      <c r="D1473" s="2354"/>
      <c r="E1473" s="478"/>
      <c r="F1473" s="478"/>
      <c r="G1473" s="478"/>
      <c r="H1473" s="478" t="s">
        <v>3617</v>
      </c>
      <c r="I1473" s="478"/>
      <c r="J1473" s="2738">
        <f>'Part VIII-Threshold Criteria'!J379</f>
        <v>0</v>
      </c>
      <c r="K1473" s="2738">
        <f>'Part VIII-Threshold Criteria'!K379</f>
        <v>0</v>
      </c>
      <c r="L1473" s="478" t="s">
        <v>3958</v>
      </c>
      <c r="M1473" s="2738">
        <f>'Part VIII-Threshold Criteria'!M379</f>
        <v>0</v>
      </c>
      <c r="N1473" s="2738">
        <f>'Part VIII-Threshold Criteria'!N379</f>
        <v>0</v>
      </c>
      <c r="O1473" s="2354"/>
      <c r="P1473" s="2354"/>
      <c r="Q1473" s="2354"/>
    </row>
    <row r="1474" spans="1:17">
      <c r="A1474" s="2354"/>
      <c r="B1474" s="478" t="s">
        <v>99</v>
      </c>
      <c r="C1474" s="478" t="s">
        <v>3959</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2000</v>
      </c>
      <c r="B1476" s="2658" t="s">
        <v>3960</v>
      </c>
      <c r="C1476" s="2354"/>
      <c r="D1476" s="2626"/>
      <c r="E1476" s="2626"/>
      <c r="F1476" s="2626"/>
      <c r="G1476" s="2626"/>
      <c r="H1476" s="2626"/>
      <c r="I1476" s="2354"/>
      <c r="J1476" s="478" t="s">
        <v>3965</v>
      </c>
      <c r="K1476" s="478"/>
      <c r="L1476" s="478"/>
      <c r="M1476" s="478"/>
      <c r="N1476" s="2626" t="s">
        <v>3962</v>
      </c>
      <c r="O1476" s="2626"/>
      <c r="P1476" s="2626"/>
      <c r="Q1476" s="2626"/>
    </row>
    <row r="1477" spans="1:17">
      <c r="A1477" s="2354"/>
      <c r="B1477" s="478" t="s">
        <v>1750</v>
      </c>
      <c r="C1477" s="2597" t="s">
        <v>3961</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3964</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3966</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3779</v>
      </c>
      <c r="D1480" s="2598"/>
      <c r="E1480" s="2598"/>
      <c r="F1480" s="2598"/>
      <c r="G1480" s="2598"/>
      <c r="H1480" s="2597"/>
      <c r="I1480" s="2659"/>
      <c r="J1480" s="2659"/>
      <c r="K1480" s="2659"/>
      <c r="L1480" s="2561"/>
      <c r="M1480" s="2561"/>
      <c r="N1480" s="2561"/>
      <c r="O1480" s="2561"/>
      <c r="P1480" s="2561"/>
      <c r="Q1480" s="2561"/>
    </row>
    <row r="1481" spans="1:17" ht="90">
      <c r="A1481" s="2661" t="str">
        <f>'Part VIII-Threshold Criteria'!A387</f>
        <v>The Applicant did not apply under the Rural HOME Preservation Set Aside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1879</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4157</v>
      </c>
      <c r="B1486" s="2543" t="s">
        <v>2700</v>
      </c>
      <c r="C1486" s="2543"/>
      <c r="D1486" s="2543"/>
      <c r="E1486" s="2543"/>
      <c r="F1486" s="2543"/>
      <c r="G1486" s="2543"/>
      <c r="H1486" s="2664"/>
      <c r="I1486" s="2664"/>
      <c r="J1486" s="2664"/>
      <c r="O1486" s="2660" t="s">
        <v>1880</v>
      </c>
      <c r="P1486" s="2569">
        <f>'Part VIII-Threshold Criteria'!P392</f>
        <v>0</v>
      </c>
      <c r="Q1486" s="2569">
        <f>'Part VIII-Threshold Criteria'!Q392</f>
        <v>0</v>
      </c>
    </row>
    <row r="1487" spans="1:17">
      <c r="A1487" s="2700" t="s">
        <v>1998</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2687</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2000</v>
      </c>
      <c r="B1488" s="478" t="s">
        <v>3485</v>
      </c>
      <c r="D1488" s="478"/>
      <c r="E1488" s="478"/>
      <c r="F1488" s="478"/>
      <c r="G1488" s="478"/>
      <c r="H1488" s="478"/>
      <c r="I1488" s="478"/>
      <c r="J1488" s="478"/>
      <c r="K1488" s="478"/>
      <c r="L1488" s="2597"/>
      <c r="M1488" s="2597"/>
      <c r="O1488" s="2702" t="s">
        <v>2000</v>
      </c>
      <c r="P1488" s="2667">
        <f>'Part VIII-Threshold Criteria'!P394</f>
        <v>0</v>
      </c>
      <c r="Q1488" s="2667">
        <f>'Part VIII-Threshold Criteria'!Q394</f>
        <v>0</v>
      </c>
    </row>
    <row r="1489" spans="1:17" ht="12.75" customHeight="1">
      <c r="A1489" s="2698" t="s">
        <v>757</v>
      </c>
      <c r="B1489" s="2661" t="s">
        <v>3495</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2130</v>
      </c>
      <c r="B1490" s="1156" t="s">
        <v>3724</v>
      </c>
      <c r="G1490" s="2591"/>
      <c r="H1490" s="2591"/>
      <c r="I1490" s="2591"/>
      <c r="J1490" s="2597" t="s">
        <v>3725</v>
      </c>
      <c r="L1490" s="2591"/>
      <c r="M1490" s="2741">
        <f>'Part III-Sources of Funds'!E1105</f>
        <v>0</v>
      </c>
      <c r="N1490" s="2741"/>
      <c r="O1490" s="2702" t="s">
        <v>2130</v>
      </c>
      <c r="P1490" s="2667">
        <f>'Part VIII-Threshold Criteria'!P396</f>
        <v>0</v>
      </c>
      <c r="Q1490" s="2667">
        <f>'Part VIII-Threshold Criteria'!Q396</f>
        <v>0</v>
      </c>
    </row>
    <row r="1491" spans="1:17">
      <c r="B1491" s="2598" t="s">
        <v>3779</v>
      </c>
      <c r="D1491" s="2598"/>
      <c r="E1491" s="2598"/>
      <c r="F1491" s="2598"/>
      <c r="G1491" s="2598"/>
      <c r="H1491" s="2597"/>
      <c r="I1491" s="2659"/>
      <c r="J1491" s="2659"/>
      <c r="K1491" s="2659"/>
      <c r="L1491" s="2561"/>
      <c r="M1491" s="2561"/>
      <c r="N1491" s="2561"/>
      <c r="O1491" s="2561"/>
      <c r="P1491" s="2561"/>
      <c r="Q1491" s="2561"/>
    </row>
    <row r="1492" spans="1:17" ht="33.75">
      <c r="A1492" s="2661" t="str">
        <f>'Part VIII-Threshold Criteria'!A398</f>
        <v>The Applicant is not a CHDO</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1879</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4158</v>
      </c>
      <c r="B1496" s="2543" t="s">
        <v>2684</v>
      </c>
      <c r="C1496" s="2543"/>
      <c r="D1496" s="2543"/>
      <c r="E1496" s="2664"/>
      <c r="G1496" s="2686" t="s">
        <v>708</v>
      </c>
      <c r="H1496" s="2664"/>
      <c r="I1496" s="2664"/>
      <c r="J1496" s="2664"/>
      <c r="K1496" s="2664"/>
      <c r="L1496" s="2664"/>
      <c r="M1496" s="2664"/>
      <c r="O1496" s="2660" t="s">
        <v>1880</v>
      </c>
      <c r="P1496" s="2569">
        <f>'Part VIII-Threshold Criteria'!P402</f>
        <v>0</v>
      </c>
      <c r="Q1496" s="2569">
        <f>'Part VIII-Threshold Criteria'!Q402</f>
        <v>0</v>
      </c>
    </row>
    <row r="1497" spans="1:17">
      <c r="A1497" s="2700" t="s">
        <v>1998</v>
      </c>
      <c r="B1497" s="478" t="s">
        <v>2689</v>
      </c>
      <c r="D1497" s="2661"/>
      <c r="E1497" s="2661"/>
      <c r="H1497" s="2686"/>
      <c r="O1497" s="2702" t="s">
        <v>1998</v>
      </c>
      <c r="P1497" s="2667">
        <f>'Part VIII-Threshold Criteria'!P403</f>
        <v>0</v>
      </c>
      <c r="Q1497" s="2667">
        <f>'Part VIII-Threshold Criteria'!Q403</f>
        <v>0</v>
      </c>
    </row>
    <row r="1498" spans="1:17">
      <c r="A1498" s="2700" t="s">
        <v>2000</v>
      </c>
      <c r="B1498" s="478" t="s">
        <v>3607</v>
      </c>
      <c r="D1498" s="2661"/>
      <c r="E1498" s="2661"/>
      <c r="O1498" s="2702" t="s">
        <v>2000</v>
      </c>
      <c r="P1498" s="2667">
        <f>'Part VIII-Threshold Criteria'!P404</f>
        <v>0</v>
      </c>
      <c r="Q1498" s="2667">
        <f>'Part VIII-Threshold Criteria'!Q404</f>
        <v>0</v>
      </c>
    </row>
    <row r="1499" spans="1:17">
      <c r="A1499" s="2700" t="s">
        <v>757</v>
      </c>
      <c r="B1499" s="478" t="s">
        <v>4121</v>
      </c>
      <c r="D1499" s="2661"/>
      <c r="E1499" s="2661"/>
      <c r="O1499" s="2702" t="s">
        <v>757</v>
      </c>
      <c r="P1499" s="2667">
        <f>'Part VIII-Threshold Criteria'!P405</f>
        <v>0</v>
      </c>
      <c r="Q1499" s="2667">
        <f>'Part VIII-Threshold Criteria'!Q405</f>
        <v>0</v>
      </c>
    </row>
    <row r="1500" spans="1:17">
      <c r="A1500" s="2700" t="s">
        <v>2130</v>
      </c>
      <c r="B1500" s="478" t="s">
        <v>3608</v>
      </c>
      <c r="E1500" s="2686"/>
      <c r="O1500" s="2702" t="s">
        <v>2130</v>
      </c>
      <c r="P1500" s="2667">
        <f>'Part VIII-Threshold Criteria'!P406</f>
        <v>0</v>
      </c>
      <c r="Q1500" s="2667">
        <f>'Part VIII-Threshold Criteria'!Q406</f>
        <v>0</v>
      </c>
    </row>
    <row r="1501" spans="1:17">
      <c r="A1501" s="2700" t="s">
        <v>1748</v>
      </c>
      <c r="B1501" s="478" t="s">
        <v>2094</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3779</v>
      </c>
      <c r="D1502" s="2598"/>
      <c r="E1502" s="2598"/>
      <c r="F1502" s="2598"/>
      <c r="G1502" s="2598"/>
      <c r="H1502" s="2597"/>
      <c r="I1502" s="2659"/>
      <c r="J1502" s="2659"/>
      <c r="K1502" s="2659"/>
      <c r="L1502" s="2561"/>
      <c r="M1502" s="2561"/>
      <c r="N1502" s="2561"/>
      <c r="O1502" s="2561"/>
      <c r="P1502" s="2561"/>
      <c r="Q1502" s="2561"/>
    </row>
    <row r="1503" spans="1:17">
      <c r="A1503" s="2661">
        <f>'Part VIII-Threshold Criteria'!A409</f>
        <v>0</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1879</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4159</v>
      </c>
      <c r="B1507" s="2543" t="s">
        <v>2685</v>
      </c>
      <c r="C1507" s="2543"/>
      <c r="D1507" s="2543"/>
      <c r="E1507" s="2543"/>
      <c r="F1507" s="2543"/>
      <c r="G1507" s="2543"/>
      <c r="H1507" s="2664"/>
      <c r="I1507" s="2664"/>
      <c r="J1507" s="2664"/>
      <c r="K1507" s="2664"/>
      <c r="L1507" s="2664"/>
      <c r="M1507" s="2664"/>
      <c r="O1507" s="2660" t="s">
        <v>1880</v>
      </c>
      <c r="P1507" s="2569">
        <f>'Part VIII-Threshold Criteria'!P413</f>
        <v>0</v>
      </c>
      <c r="Q1507" s="2569">
        <f>'Part VIII-Threshold Criteria'!Q413</f>
        <v>0</v>
      </c>
    </row>
    <row r="1508" spans="1:17">
      <c r="A1508" s="2700" t="s">
        <v>1998</v>
      </c>
      <c r="B1508" s="478" t="s">
        <v>760</v>
      </c>
      <c r="D1508" s="2354"/>
      <c r="E1508" s="2354"/>
      <c r="F1508" s="2354"/>
      <c r="G1508" s="2354"/>
      <c r="H1508" s="2354"/>
      <c r="I1508" s="2354"/>
      <c r="J1508" s="2354"/>
      <c r="K1508" s="2354"/>
      <c r="L1508" s="2354"/>
      <c r="M1508" s="2354"/>
      <c r="N1508" s="2354"/>
      <c r="O1508" s="2702" t="s">
        <v>1998</v>
      </c>
      <c r="P1508" s="2667" t="str">
        <f>'Part VIII-Threshold Criteria'!P414</f>
        <v>No</v>
      </c>
      <c r="Q1508" s="2667">
        <f>'Part VIII-Threshold Criteria'!Q414</f>
        <v>0</v>
      </c>
    </row>
    <row r="1509" spans="1:17">
      <c r="A1509" s="2700" t="s">
        <v>2000</v>
      </c>
      <c r="B1509" s="478" t="s">
        <v>3497</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3496</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2216</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2130</v>
      </c>
      <c r="B1514" s="2597" t="s">
        <v>2832</v>
      </c>
      <c r="C1514" s="2597"/>
      <c r="E1514" s="2597"/>
      <c r="F1514" s="2597"/>
      <c r="G1514" s="2597"/>
      <c r="H1514" s="2597"/>
      <c r="I1514" s="2597"/>
      <c r="J1514" s="2597"/>
      <c r="K1514" s="2597"/>
      <c r="L1514" s="2597"/>
      <c r="M1514" s="2597"/>
      <c r="N1514" s="2354"/>
      <c r="O1514" s="2702"/>
      <c r="P1514" s="2354"/>
      <c r="Q1514" s="2354"/>
    </row>
    <row r="1515" spans="1:17">
      <c r="A1515" s="2700"/>
      <c r="B1515" s="478" t="s">
        <v>2217</v>
      </c>
      <c r="C1515" s="478"/>
      <c r="E1515" s="2354"/>
      <c r="F1515" s="2597"/>
      <c r="G1515" s="2561">
        <f>'Part VIII-Threshold Criteria'!G421</f>
        <v>0</v>
      </c>
      <c r="H1515" s="2556">
        <f>'Part VIII-Threshold Criteria'!H421</f>
        <v>0</v>
      </c>
      <c r="J1515" s="478" t="s">
        <v>2220</v>
      </c>
      <c r="K1515" s="2597"/>
      <c r="N1515" s="2561">
        <f>'Part VIII-Threshold Criteria'!N421</f>
        <v>0</v>
      </c>
      <c r="O1515" s="2556">
        <f>'Part VIII-Threshold Criteria'!O421</f>
        <v>0</v>
      </c>
    </row>
    <row r="1516" spans="1:17">
      <c r="A1516" s="2700"/>
      <c r="B1516" s="478" t="s">
        <v>2218</v>
      </c>
      <c r="C1516" s="478"/>
      <c r="E1516" s="2354"/>
      <c r="F1516" s="2597"/>
      <c r="G1516" s="2561">
        <f>'Part VIII-Threshold Criteria'!G422</f>
        <v>0</v>
      </c>
      <c r="H1516" s="2556">
        <f>'Part VIII-Threshold Criteria'!H422</f>
        <v>0</v>
      </c>
      <c r="J1516" s="478" t="s">
        <v>2221</v>
      </c>
      <c r="K1516" s="2597"/>
      <c r="N1516" s="2561">
        <f>'Part VIII-Threshold Criteria'!N422</f>
        <v>0</v>
      </c>
      <c r="O1516" s="2556">
        <f>'Part VIII-Threshold Criteria'!O422</f>
        <v>0</v>
      </c>
    </row>
    <row r="1517" spans="1:17">
      <c r="A1517" s="2700"/>
      <c r="B1517" s="478" t="s">
        <v>2219</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2400</v>
      </c>
      <c r="C1518" s="2597"/>
      <c r="E1518" s="2597"/>
      <c r="F1518" s="2597"/>
      <c r="G1518" s="2597"/>
      <c r="J1518" s="2354"/>
      <c r="K1518" s="2597"/>
      <c r="L1518" s="2597"/>
      <c r="M1518" s="2597"/>
      <c r="N1518" s="2354"/>
      <c r="O1518" s="2702"/>
      <c r="P1518" s="2702"/>
      <c r="Q1518" s="2702"/>
    </row>
    <row r="1519" spans="1:17">
      <c r="A1519" s="2354"/>
      <c r="B1519" s="1156" t="s">
        <v>2222</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2268</v>
      </c>
      <c r="N1520" s="2619">
        <f>'Part VIII-Threshold Criteria'!N426</f>
        <v>0</v>
      </c>
      <c r="O1520" s="2619">
        <f>'Part VIII-Threshold Criteria'!O426</f>
        <v>0</v>
      </c>
      <c r="P1520" s="2619">
        <f>'Part VIII-Threshold Criteria'!P426</f>
        <v>0</v>
      </c>
      <c r="Q1520" s="2619">
        <f>'Part VIII-Threshold Criteria'!Q426</f>
        <v>0</v>
      </c>
    </row>
    <row r="1521" spans="1:17">
      <c r="B1521" s="2598" t="s">
        <v>3779</v>
      </c>
      <c r="D1521" s="2598"/>
      <c r="E1521" s="2598"/>
      <c r="F1521" s="2598"/>
      <c r="G1521" s="2598"/>
      <c r="H1521" s="2597"/>
      <c r="I1521" s="2659"/>
      <c r="J1521" s="2659"/>
      <c r="K1521" s="2659"/>
      <c r="P1521" s="2561"/>
      <c r="Q1521" s="2561"/>
    </row>
    <row r="1522" spans="1:17" ht="90">
      <c r="A1522" s="2661" t="str">
        <f>'Part VIII-Threshold Criteria'!A428</f>
        <v>The project will be new construction and the site is currently undeveloped vacant land.</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1879</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4160</v>
      </c>
      <c r="B1526" s="2543" t="s">
        <v>2833</v>
      </c>
      <c r="C1526" s="2543"/>
      <c r="D1526" s="2658"/>
      <c r="E1526" s="2664"/>
      <c r="F1526" s="2664"/>
      <c r="G1526" s="2664"/>
      <c r="H1526" s="2664"/>
      <c r="O1526" s="2660" t="s">
        <v>1880</v>
      </c>
      <c r="P1526" s="2569">
        <f>'Part VIII-Threshold Criteria'!P432</f>
        <v>0</v>
      </c>
      <c r="Q1526" s="2569">
        <f>'Part VIII-Threshold Criteria'!Q432</f>
        <v>0</v>
      </c>
    </row>
    <row r="1527" spans="1:17">
      <c r="B1527" s="2658" t="s">
        <v>3967</v>
      </c>
      <c r="C1527" s="2543"/>
      <c r="D1527" s="2658"/>
      <c r="E1527" s="2664"/>
      <c r="F1527" s="2664"/>
      <c r="G1527" s="2664"/>
      <c r="H1527" s="2664"/>
    </row>
    <row r="1528" spans="1:17" ht="12.75" customHeight="1">
      <c r="A1528" s="2698" t="s">
        <v>1998</v>
      </c>
      <c r="B1528" s="2661" t="s">
        <v>3970</v>
      </c>
      <c r="C1528" s="2661"/>
      <c r="D1528" s="2661"/>
      <c r="E1528" s="2661"/>
      <c r="F1528" s="2661"/>
      <c r="G1528" s="2661"/>
      <c r="H1528" s="2661"/>
      <c r="I1528" s="2661"/>
      <c r="J1528" s="2661"/>
      <c r="K1528" s="2661"/>
      <c r="L1528" s="2661"/>
      <c r="M1528" s="2661"/>
      <c r="N1528" s="2661"/>
      <c r="O1528" s="2712" t="s">
        <v>1998</v>
      </c>
      <c r="P1528" s="2713" t="str">
        <f>'Part VIII-Threshold Criteria'!P434</f>
        <v>Agree</v>
      </c>
      <c r="Q1528" s="2713">
        <f>'Part VIII-Threshold Criteria'!Q434</f>
        <v>0</v>
      </c>
    </row>
    <row r="1529" spans="1:17" ht="12.75" customHeight="1">
      <c r="A1529" s="2698" t="s">
        <v>2000</v>
      </c>
      <c r="B1529" s="2661" t="s">
        <v>3968</v>
      </c>
      <c r="C1529" s="2661"/>
      <c r="D1529" s="2661"/>
      <c r="E1529" s="2661"/>
      <c r="F1529" s="2661"/>
      <c r="G1529" s="2661"/>
      <c r="H1529" s="2661"/>
      <c r="I1529" s="2661"/>
      <c r="J1529" s="2661"/>
      <c r="K1529" s="2661"/>
      <c r="L1529" s="2661"/>
      <c r="M1529" s="2661"/>
      <c r="N1529" s="2661"/>
      <c r="O1529" s="2712" t="s">
        <v>2000</v>
      </c>
      <c r="P1529" s="2713" t="str">
        <f>'Part VIII-Threshold Criteria'!P435</f>
        <v>Agree</v>
      </c>
      <c r="Q1529" s="2713">
        <f>'Part VIII-Threshold Criteria'!Q435</f>
        <v>0</v>
      </c>
    </row>
    <row r="1530" spans="1:17" ht="12.75" customHeight="1">
      <c r="A1530" s="2678"/>
      <c r="B1530" s="2661" t="s">
        <v>3969</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3971</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3972</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3973</v>
      </c>
      <c r="C1533" s="2661"/>
      <c r="D1533" s="2661"/>
      <c r="E1533" s="2661"/>
      <c r="F1533" s="2661"/>
      <c r="G1533" s="2661"/>
      <c r="H1533" s="2661"/>
      <c r="I1533" s="2661"/>
      <c r="J1533" s="2661"/>
      <c r="K1533" s="2661"/>
      <c r="L1533" s="2661"/>
      <c r="M1533" s="2661"/>
      <c r="N1533" s="2661"/>
      <c r="O1533" s="2712" t="s">
        <v>2380</v>
      </c>
      <c r="P1533" s="2713" t="str">
        <f>'Part VIII-Threshold Criteria'!P439</f>
        <v>Agree</v>
      </c>
      <c r="Q1533" s="2713">
        <f>'Part VIII-Threshold Criteria'!Q439</f>
        <v>0</v>
      </c>
    </row>
    <row r="1534" spans="1:17" ht="12.75" customHeight="1">
      <c r="A1534" s="2698" t="s">
        <v>757</v>
      </c>
      <c r="B1534" s="2661" t="s">
        <v>3974</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2130</v>
      </c>
      <c r="B1535" s="2661" t="s">
        <v>3975</v>
      </c>
      <c r="C1535" s="2661"/>
      <c r="D1535" s="2661"/>
      <c r="E1535" s="2661"/>
      <c r="F1535" s="2661"/>
      <c r="G1535" s="2661"/>
      <c r="H1535" s="2661"/>
      <c r="I1535" s="2661"/>
      <c r="J1535" s="2661"/>
      <c r="K1535" s="2661"/>
      <c r="L1535" s="2661"/>
      <c r="M1535" s="2661"/>
      <c r="N1535" s="2661"/>
      <c r="O1535" s="2712" t="s">
        <v>2130</v>
      </c>
      <c r="P1535" s="2713" t="str">
        <f>'Part VIII-Threshold Criteria'!P441</f>
        <v>Agree</v>
      </c>
      <c r="Q1535" s="2713">
        <f>'Part VIII-Threshold Criteria'!Q441</f>
        <v>0</v>
      </c>
    </row>
    <row r="1536" spans="1:17" ht="12.75" customHeight="1">
      <c r="A1536" s="2698" t="s">
        <v>1748</v>
      </c>
      <c r="B1536" s="2661" t="s">
        <v>3976</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3498</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3779</v>
      </c>
      <c r="D1538" s="2598"/>
      <c r="E1538" s="2598"/>
      <c r="F1538" s="2598"/>
      <c r="G1538" s="2598"/>
      <c r="H1538" s="2597"/>
      <c r="I1538" s="2659"/>
      <c r="J1538" s="2659"/>
      <c r="K1538" s="2659"/>
      <c r="L1538" s="2561"/>
      <c r="M1538" s="2561"/>
      <c r="N1538" s="2561"/>
      <c r="O1538" s="2561"/>
      <c r="P1538" s="2561"/>
      <c r="Q1538" s="2561"/>
    </row>
    <row r="1539" spans="1:17" ht="67.5">
      <c r="A1539" s="2661" t="str">
        <f>'Part VIII-Threshold Criteria'!A445</f>
        <v>An AFFH Marketing Plan will be prepared if the project is selected.</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1879</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4161</v>
      </c>
      <c r="B1543" s="2543" t="s">
        <v>2686</v>
      </c>
      <c r="C1543" s="2543"/>
      <c r="D1543" s="2658"/>
      <c r="E1543" s="2664"/>
      <c r="F1543" s="2664"/>
      <c r="G1543" s="2664"/>
      <c r="H1543" s="2664"/>
      <c r="I1543" s="2664"/>
      <c r="J1543" s="2664"/>
      <c r="K1543" s="2664"/>
      <c r="L1543" s="2664"/>
      <c r="M1543" s="2664"/>
      <c r="O1543" s="2660" t="s">
        <v>1880</v>
      </c>
      <c r="P1543" s="2569">
        <f>'Part VIII-Threshold Criteria'!P449</f>
        <v>0</v>
      </c>
      <c r="Q1543" s="2569">
        <f>'Part VIII-Threshold Criteria'!Q449</f>
        <v>0</v>
      </c>
    </row>
    <row r="1544" spans="1:17">
      <c r="A1544" s="2544"/>
      <c r="B1544" s="2598" t="s">
        <v>3779</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The market study included in Tab 5 of the Application indicated high occupancy rates, waiting lists and low capture rates, which demonstrates a strong demand of affordable rental housing in the City of Moultrie. The Applicant believes that the project is an optimal utilization of DCA resources and will fill a void in housing within the City of Moultrie.</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1879</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2018-030 Sparrow Pointe at Forest Hill,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4771</v>
      </c>
      <c r="B1557" s="2586"/>
      <c r="C1557" s="2586"/>
      <c r="D1557" s="2586"/>
      <c r="E1557" s="2586"/>
      <c r="F1557" s="2586"/>
      <c r="G1557" s="2586"/>
      <c r="H1557" s="2586"/>
      <c r="I1557" s="2586"/>
      <c r="J1557" s="2586"/>
      <c r="K1557" s="2586"/>
      <c r="L1557" s="2586"/>
      <c r="M1557" s="2567" t="s">
        <v>2234</v>
      </c>
      <c r="N1557" s="2553"/>
      <c r="O1557" s="2562" t="s">
        <v>2233</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2234</v>
      </c>
      <c r="P1558" s="2562" t="s">
        <v>2234</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56</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2801</v>
      </c>
      <c r="C1562" s="2543"/>
      <c r="D1562" s="2543"/>
      <c r="E1562" s="2543"/>
      <c r="F1562" s="2659"/>
      <c r="G1562" s="2354"/>
      <c r="H1562" s="2625" t="s">
        <v>4772</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1998</v>
      </c>
      <c r="B1564" s="2569" t="s">
        <v>1881</v>
      </c>
      <c r="C1564" s="2354"/>
      <c r="D1564" s="2555"/>
      <c r="E1564" s="2555"/>
      <c r="F1564" s="2659"/>
      <c r="G1564" s="2354"/>
      <c r="H1564" s="2356" t="s">
        <v>3673</v>
      </c>
      <c r="I1564" s="2354"/>
      <c r="J1564" s="2354"/>
      <c r="K1564" s="2354"/>
      <c r="L1564" s="2354"/>
      <c r="M1564" s="2553"/>
      <c r="N1564" s="2702" t="s">
        <v>1998</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2128</v>
      </c>
      <c r="D1565" s="2555"/>
      <c r="E1565" s="2555"/>
      <c r="F1565" s="2659"/>
      <c r="G1565" s="2747"/>
      <c r="H1565" s="2356" t="s">
        <v>2782</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2000</v>
      </c>
      <c r="B1566" s="2569" t="s">
        <v>734</v>
      </c>
      <c r="C1566" s="2354"/>
      <c r="D1566" s="2555"/>
      <c r="E1566" s="2555"/>
      <c r="F1566" s="2659"/>
      <c r="G1566" s="2354"/>
      <c r="H1566" s="2356" t="s">
        <v>4773</v>
      </c>
      <c r="I1566" s="2354"/>
      <c r="J1566" s="2625"/>
      <c r="K1566" s="2354"/>
      <c r="L1566" s="2354"/>
      <c r="M1566" s="2553"/>
      <c r="N1566" s="2702" t="s">
        <v>2000</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4192</v>
      </c>
      <c r="D1567" s="478"/>
      <c r="E1567" s="478"/>
      <c r="F1567" s="478"/>
      <c r="G1567" s="2625"/>
      <c r="H1567" s="2356" t="s">
        <v>4773</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4195</v>
      </c>
      <c r="G1568" s="2354"/>
      <c r="H1568" s="2354"/>
      <c r="I1568" s="2354"/>
      <c r="J1568" s="2659" t="s">
        <v>4195</v>
      </c>
      <c r="K1568" s="2659"/>
      <c r="L1568" s="2354"/>
      <c r="M1568" s="2354"/>
      <c r="N1568" s="2354"/>
      <c r="O1568" s="478" t="s">
        <v>4195</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3392</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2923</v>
      </c>
      <c r="K1572" s="2432">
        <f>'Part IX A-Scoring Criteria'!K18</f>
        <v>3</v>
      </c>
      <c r="L1572" s="2432">
        <f>'Part IX A-Scoring Criteria'!L18</f>
        <v>0</v>
      </c>
      <c r="M1572" s="2432">
        <f>'Part IX A-Scoring Criteria'!M18</f>
        <v>0</v>
      </c>
      <c r="N1572" s="2432">
        <f>'Part IX A-Scoring Criteria'!N18</f>
        <v>0</v>
      </c>
      <c r="O1572" s="2736" t="s">
        <v>2923</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2923</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4774</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4196</v>
      </c>
      <c r="B1583" s="478" t="s">
        <v>4197</v>
      </c>
      <c r="C1583" s="478"/>
      <c r="D1583" s="478"/>
      <c r="E1583" s="2473" t="s">
        <v>4226</v>
      </c>
      <c r="F1583" s="478" t="s">
        <v>4225</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306">
      <c r="A1584" s="2761" t="s">
        <v>750</v>
      </c>
      <c r="B1584" s="2762" t="s">
        <v>4198</v>
      </c>
      <c r="C1584" s="2432"/>
      <c r="D1584" s="2432"/>
      <c r="E1584" s="2763">
        <f>'Part IX A-Scoring Criteria'!E30</f>
        <v>10</v>
      </c>
      <c r="F1584" s="2666" t="str">
        <f>'Part IX A-Scoring Criteria'!F30</f>
        <v>The project is a Rural site and is within 0.5 miles from a Place of Worship, which is eligible for 2 points. The project is within 1.5 miles of a National Big Box Store, Traditional Town Square, Grocery Store, Recreation Center, Elementary School, Public Park, Public Library, Medical Care Provider, Police Department, Department Store, Restaurant, Bank, Post Office and a Pharmacy, and is eligible for one (1) desirable point for each. Please see Tab 26 for the Desirable / Undesirable Certification. There are no undesirables.</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4199</v>
      </c>
      <c r="C1585" s="2432"/>
      <c r="D1585" s="2432"/>
      <c r="E1585" s="2763">
        <f>'Part IX A-Scoring Criteria'!E31</f>
        <v>2</v>
      </c>
      <c r="F1585" s="2666" t="str">
        <f>'Part IX A-Scoring Criteria'!F31</f>
        <v>The proposed development will be seeking an Earthcraft House Multifamily certification. The minimum score is 100 and we are projecting a score of 123.  Please see Tab 29 of the Application for Sustainable Developments for the documentation.</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4200</v>
      </c>
      <c r="C1586" s="2432"/>
      <c r="D1586" s="2432"/>
      <c r="E1586" s="2763">
        <f>'Part IX A-Scoring Criteria'!E32</f>
        <v>3</v>
      </c>
      <c r="F1586" s="2666" t="str">
        <f>'Part IX A-Scoring Criteria'!F32</f>
        <v>Please see Tab 31 of the application for evidence that the project is within the boundaries of Colquitt County High School and the CCRPI reports for 2015, 2016 and 2017 showing a three year average above the threshold for the Quality Education Area point. Also in included in Tab 30 of the application is the report from the Census Bureau's OnTheMap website demonstrating that the site meets the requirements for 2 points in this section as well as documentation identifying the address entered into the search box. The propsed site exceeds the minimum jobs threshold by 50%.</v>
      </c>
      <c r="G1586" s="2666"/>
      <c r="H1586" s="2666"/>
      <c r="I1586" s="2666"/>
      <c r="J1586" s="2666"/>
      <c r="K1586" s="2666"/>
      <c r="L1586" s="2666"/>
      <c r="M1586" s="2666"/>
      <c r="N1586" s="2666"/>
      <c r="O1586" s="2703" t="s">
        <v>2923</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4201</v>
      </c>
      <c r="C1587" s="2432"/>
      <c r="D1587" s="2432"/>
      <c r="E1587" s="2763">
        <f>'Part IX A-Scoring Criteria'!E33</f>
        <v>6</v>
      </c>
      <c r="F1587" s="2666" t="str">
        <f>'Part IX A-Scoring Criteria'!F33</f>
        <v>Please see Tab 32 of the application for evidence of the project site in a QCT, the DCA Community Redevelopment Certificate and additional information regarding the redevelopment plan. A full copy of the plan is included in Tab 32 and meets the DCA requirements and clearly delineates the Targeted Area, which includes the proposed site, but not the entire surrounding city, provides evidence of public input and engagement during the planning stages, contains policy goals that call for the rehabilitation/production of affordable rental housing, specifies implementation measures/timeframes/resources for achievements, includes an assessment of the existing physical structures and infrastructure of the proposed community and has been officially adopted by the Local Government.</v>
      </c>
      <c r="G1587" s="2666"/>
      <c r="H1587" s="2666"/>
      <c r="I1587" s="2666"/>
      <c r="J1587" s="2666"/>
      <c r="K1587" s="2666"/>
      <c r="L1587" s="2666"/>
      <c r="M1587" s="2666"/>
      <c r="N1587" s="2666"/>
      <c r="O1587" s="2703" t="s">
        <v>2923</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4202</v>
      </c>
      <c r="C1588" s="2432"/>
      <c r="D1588" s="2432"/>
      <c r="E1588" s="2764" t="str">
        <f>'Part IX A-Scoring Criteria'!E34</f>
        <v>n/a</v>
      </c>
      <c r="F1588" s="2666" t="str">
        <f>'Part IX A-Scoring Criteria'!F34</f>
        <v>N/A</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N/A</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2266</v>
      </c>
      <c r="B1590" s="2762" t="s">
        <v>4203</v>
      </c>
      <c r="C1590" s="2432"/>
      <c r="D1590" s="2432"/>
      <c r="E1590" s="2764">
        <f>'Part IX A-Scoring Criteria'!E36</f>
        <v>1</v>
      </c>
      <c r="F1590" s="2666" t="str">
        <f>'Part IX A-Scoring Criteria'!F36</f>
        <v>The Applicant will be claiming the Priorty point for this application, Sparrow Pointe at Forest Hill. This is the only application the proposed Project Team has a direct or indirect interest.</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4516</v>
      </c>
      <c r="B1591" s="2762" t="s">
        <v>4517</v>
      </c>
      <c r="C1591" s="2432"/>
      <c r="D1591" s="2432"/>
      <c r="E1591" s="2764">
        <f>'Part IX A-Scoring Criteria'!E37</f>
        <v>3</v>
      </c>
      <c r="F1591" s="2666" t="str">
        <f>'Part IX A-Scoring Criteria'!F37</f>
        <v>The applicant is in the rural pool and there has not been a DCA awarded project within the City of Moultrie in the last Six (6) DCA funding cycles. The last awarded deal in the City of Moultrie was in 2008.</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4149</v>
      </c>
      <c r="B1592" s="2762" t="s">
        <v>4204</v>
      </c>
      <c r="C1592" s="2432"/>
      <c r="D1592" s="2432"/>
      <c r="E1592" s="2763">
        <f>'Part IX A-Scoring Criteria'!E38</f>
        <v>1</v>
      </c>
      <c r="F1592" s="2666" t="str">
        <f>'Part IX A-Scoring Criteria'!F38</f>
        <v>Please see Tab 35 of the application for the required GICH documentation. The proposed project has obtained the only letter issued by the GICH community, which identifies the boundaries and the proposed projects existence within the GICH community and is executed by the appropriate primary contact and the local government agreement letter from the Mayor related to the issuance of the letter.</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4150</v>
      </c>
      <c r="B1593" s="2762" t="s">
        <v>4205</v>
      </c>
      <c r="C1593" s="2432"/>
      <c r="D1593" s="2432"/>
      <c r="E1593" s="2763">
        <f>'Part IX A-Scoring Criteria'!E39</f>
        <v>0</v>
      </c>
      <c r="F1593" s="2666" t="str">
        <f>'Part IX A-Scoring Criteria'!F39</f>
        <v>The Applicant is not claiming points under favorable financing.</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4148</v>
      </c>
      <c r="B1594" s="2762" t="s">
        <v>4206</v>
      </c>
      <c r="C1594" s="2432"/>
      <c r="D1594" s="2432"/>
      <c r="E1594" s="2763">
        <f>'Part IX A-Scoring Criteria'!E40</f>
        <v>2</v>
      </c>
      <c r="F1594" s="2666" t="str">
        <f>'Part IX A-Scoring Criteria'!F40</f>
        <v>The Applicant agrees to accept Section 811 PBRA or other DCA-offered RA for up to 10% of the units for the purpose of providing Integrated Supportive Housing opportunities to Persons with Disabilities. The Applicant understands the requirements of the program.</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4151</v>
      </c>
      <c r="B1595" s="2762" t="s">
        <v>4207</v>
      </c>
      <c r="C1595" s="2432"/>
      <c r="D1595" s="2432"/>
      <c r="E1595" s="2764">
        <f>'Part IX A-Scoring Criteria'!E41</f>
        <v>0</v>
      </c>
      <c r="F1595" s="2666" t="str">
        <f>'Part IX A-Scoring Criteria'!F41</f>
        <v>The project is new construction and is not deemed historic or adaptive reuse.</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1998</v>
      </c>
      <c r="B1599" s="2770" t="s">
        <v>2641</v>
      </c>
      <c r="C1599" s="2747"/>
      <c r="D1599" s="2747"/>
      <c r="E1599" s="478"/>
      <c r="F1599" s="2747"/>
      <c r="G1599" s="2619"/>
      <c r="H1599" s="2517" t="s">
        <v>3615</v>
      </c>
      <c r="I1599" s="2517"/>
      <c r="J1599" s="2769">
        <f>'Part VI-Revenues &amp; Expenses'!$O$60</f>
        <v>50</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3394</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3742</v>
      </c>
      <c r="H1601" s="2626"/>
      <c r="I1601" s="2626"/>
      <c r="J1601" s="2626"/>
      <c r="K1601" s="2492" t="s">
        <v>3617</v>
      </c>
      <c r="L1601" s="2492" t="s">
        <v>3618</v>
      </c>
      <c r="M1601" s="2561">
        <v>2</v>
      </c>
      <c r="N1601" s="2773" t="s">
        <v>1998</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2001</v>
      </c>
      <c r="C1602" s="2777">
        <v>0.15</v>
      </c>
      <c r="D1602" s="2686" t="s">
        <v>3393</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2001</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3364</v>
      </c>
      <c r="B1603" s="2776" t="s">
        <v>2003</v>
      </c>
      <c r="C1603" s="2777">
        <v>0.2</v>
      </c>
      <c r="D1603" s="2686" t="s">
        <v>3393</v>
      </c>
      <c r="E1603" s="2778"/>
      <c r="F1603" s="2778"/>
      <c r="G1603" s="2778"/>
      <c r="H1603" s="2779">
        <f>'Part IX A-Scoring Criteria'!H49</f>
        <v>10</v>
      </c>
      <c r="I1603" s="2779">
        <f>'Part IX A-Scoring Criteria'!I49</f>
        <v>0</v>
      </c>
      <c r="J1603" s="2778"/>
      <c r="K1603" s="2708">
        <f>'Part IX A-Scoring Criteria'!K49</f>
        <v>0.2</v>
      </c>
      <c r="L1603" s="2708">
        <f>'Part IX A-Scoring Criteria'!L49</f>
        <v>0</v>
      </c>
      <c r="M1603" s="2556">
        <v>2</v>
      </c>
      <c r="N1603" s="2773" t="s">
        <v>2003</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2000</v>
      </c>
      <c r="B1605" s="2770" t="s">
        <v>4775</v>
      </c>
      <c r="C1605" s="2778"/>
      <c r="D1605" s="2778"/>
      <c r="E1605" s="2724"/>
      <c r="F1605" s="2778"/>
      <c r="G1605" s="2778"/>
      <c r="H1605" s="2626" t="s">
        <v>3677</v>
      </c>
      <c r="I1605" s="2626"/>
      <c r="J1605" s="2778"/>
      <c r="K1605" s="2778"/>
      <c r="L1605" s="2778"/>
      <c r="M1605" s="2561">
        <v>3</v>
      </c>
      <c r="N1605" s="2712" t="s">
        <v>2000</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2001</v>
      </c>
      <c r="C1606" s="2777">
        <v>0.3</v>
      </c>
      <c r="D1606" s="2686" t="s">
        <v>3676</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2001</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2003</v>
      </c>
      <c r="C1607" s="2735" t="s">
        <v>3991</v>
      </c>
      <c r="D1607" s="2778"/>
      <c r="E1607" s="2781"/>
      <c r="F1607" s="2735"/>
      <c r="G1607" s="2778"/>
      <c r="H1607" s="2778"/>
      <c r="I1607" s="2742"/>
      <c r="J1607" s="2742"/>
      <c r="K1607" s="2742"/>
      <c r="L1607" s="2742"/>
      <c r="M1607" s="2742"/>
      <c r="N1607" s="2773" t="s">
        <v>2003</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1879</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4144</v>
      </c>
      <c r="C1611" s="2747"/>
      <c r="D1611" s="2783"/>
      <c r="E1611" s="2747"/>
      <c r="F1611" s="2747"/>
      <c r="G1611" s="2747"/>
      <c r="H1611" s="2747"/>
      <c r="I1611" s="2517" t="s">
        <v>3795</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1998</v>
      </c>
      <c r="B1614" s="2569" t="s">
        <v>1887</v>
      </c>
      <c r="C1614" s="2543"/>
      <c r="D1614" s="2543"/>
      <c r="E1614" s="2747"/>
      <c r="F1614" s="2347"/>
      <c r="G1614" s="2356" t="s">
        <v>2735</v>
      </c>
      <c r="H1614" s="2747"/>
      <c r="I1614" s="2586" t="s">
        <v>4776</v>
      </c>
      <c r="J1614" s="2586"/>
      <c r="K1614" s="2586"/>
      <c r="L1614" s="2586"/>
      <c r="M1614" s="2553">
        <v>10</v>
      </c>
      <c r="N1614" s="2784" t="s">
        <v>1998</v>
      </c>
      <c r="O1614" s="2785">
        <f>'Part IX A-Scoring Criteria'!O60</f>
        <v>10</v>
      </c>
      <c r="P1614" s="2785">
        <f>'Part IX A-Scoring Criteria'!P60</f>
        <v>0</v>
      </c>
      <c r="Q1614" s="2786" t="str">
        <f>IF(OR($O1614=$M1614,$O1614=0,$O1614=""),"","*CHECK!*")</f>
        <v/>
      </c>
      <c r="R1614" s="2787" t="s">
        <v>2723</v>
      </c>
      <c r="S1614" s="2747"/>
      <c r="T1614" s="2747"/>
      <c r="U1614" s="2747"/>
      <c r="V1614" s="2747"/>
      <c r="W1614" s="2747"/>
      <c r="X1614" s="2747"/>
      <c r="Y1614" s="2747"/>
      <c r="Z1614" s="2747"/>
    </row>
    <row r="1615" spans="1:26" ht="16.5">
      <c r="A1615" s="2580" t="s">
        <v>2000</v>
      </c>
      <c r="B1615" s="2569" t="s">
        <v>3873</v>
      </c>
      <c r="C1615" s="2747"/>
      <c r="D1615" s="2783"/>
      <c r="E1615" s="2747"/>
      <c r="F1615" s="2788"/>
      <c r="G1615" s="2356" t="s">
        <v>4022</v>
      </c>
      <c r="H1615" s="2747"/>
      <c r="I1615" s="2586"/>
      <c r="J1615" s="2586"/>
      <c r="K1615" s="2586"/>
      <c r="L1615" s="2586"/>
      <c r="M1615" s="2659" t="s">
        <v>1250</v>
      </c>
      <c r="N1615" s="2702" t="s">
        <v>2000</v>
      </c>
      <c r="O1615" s="2785">
        <f>'Part IX A-Scoring Criteria'!O61</f>
        <v>0</v>
      </c>
      <c r="P1615" s="2785">
        <f>'Part IX A-Scoring Criteria'!P61</f>
        <v>0</v>
      </c>
      <c r="Q1615" s="2747"/>
      <c r="R1615" s="2787" t="s">
        <v>2723</v>
      </c>
      <c r="S1615" s="2747"/>
      <c r="T1615" s="2747"/>
      <c r="U1615" s="2747"/>
      <c r="V1615" s="2747"/>
      <c r="W1615" s="2747"/>
      <c r="X1615" s="2747"/>
      <c r="Y1615" s="2747"/>
      <c r="Z1615" s="2747"/>
    </row>
    <row r="1616" spans="1:26" ht="15">
      <c r="A1616" s="2354"/>
      <c r="B1616" s="2766" t="s">
        <v>3780</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409.5">
      <c r="A1617" s="2661" t="str">
        <f>'Part IX A-Scoring Criteria'!A63</f>
        <v>The project is a Rural site and is within 0.5 miles from a Place of Worship, which is eligible for 2 points. The project is within 1.5 miles of a National Big Box Store, Traditional Town Square, Grocery Store, Recreation Center, Elementary School, Public Park, Public Library, Medical Care Provider, Police Department, Department Store, Restaurant, Bank, Post Office and a Pharmacy, and is eligible for one (1) desirable point for each. Please see Tab 26 for the Desirable / Undesirable Certification. There are no undesirables.</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1879</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2647</v>
      </c>
      <c r="C1621" s="2747"/>
      <c r="D1621" s="2783"/>
      <c r="E1621" s="2747"/>
      <c r="F1621" s="2747"/>
      <c r="G1621" s="2747"/>
      <c r="H1621" s="2747"/>
      <c r="I1621" s="2747"/>
      <c r="J1621" s="2747"/>
      <c r="K1621" s="2789" t="s">
        <v>1893</v>
      </c>
      <c r="L1621" s="2747"/>
      <c r="M1621" s="2562">
        <v>6</v>
      </c>
      <c r="N1621" s="2702"/>
      <c r="O1621" s="2746">
        <f>'Part IX A-Scoring Criteria'!O67</f>
        <v>2</v>
      </c>
      <c r="P1621" s="2746">
        <f>'Part IX A-Scoring Criteria'!P67</f>
        <v>0</v>
      </c>
      <c r="Q1621" s="2562" t="s">
        <v>443</v>
      </c>
      <c r="R1621" s="2790" t="s">
        <v>4777</v>
      </c>
      <c r="S1621" s="2790"/>
      <c r="T1621" s="2790"/>
      <c r="U1621" s="2790"/>
      <c r="V1621" s="2747"/>
      <c r="W1621" s="2747"/>
      <c r="X1621" s="2747"/>
      <c r="Y1621" s="2747"/>
      <c r="Z1621" s="2747"/>
    </row>
    <row r="1622" spans="1:26" ht="15">
      <c r="A1622" s="2748"/>
      <c r="B1622" s="2555" t="s">
        <v>3994</v>
      </c>
      <c r="C1622" s="2747"/>
      <c r="D1622" s="2783"/>
      <c r="E1622" s="2747"/>
      <c r="F1622" s="2747"/>
      <c r="G1622" s="2747"/>
      <c r="H1622" s="2569" t="s">
        <v>2811</v>
      </c>
      <c r="I1622" s="2604"/>
      <c r="J1622" s="2569" t="str">
        <f>'Part I-Project Information'!$H$100</f>
        <v>Rural</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2001</v>
      </c>
      <c r="C1623" s="1156" t="s">
        <v>3619</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2003</v>
      </c>
      <c r="C1624" s="1156" t="s">
        <v>3992</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2550</v>
      </c>
      <c r="C1625" s="1156" t="s">
        <v>3993</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4001</v>
      </c>
      <c r="C1627" s="2747"/>
      <c r="D1627" s="2783"/>
      <c r="E1627" s="2747"/>
      <c r="F1627" s="2555" t="s">
        <v>3743</v>
      </c>
      <c r="G1627" s="2555"/>
      <c r="H1627" s="2555"/>
      <c r="I1627" s="2555"/>
      <c r="J1627" s="2555" t="s">
        <v>3744</v>
      </c>
      <c r="K1627" s="2555"/>
      <c r="L1627" s="2555"/>
      <c r="M1627" s="2555"/>
      <c r="N1627" s="2702"/>
      <c r="O1627" s="2518" t="s">
        <v>4778</v>
      </c>
      <c r="P1627" s="2793"/>
      <c r="Q1627" s="2562"/>
      <c r="R1627" s="2790"/>
      <c r="S1627" s="2790"/>
      <c r="T1627" s="2790"/>
      <c r="U1627" s="2790"/>
      <c r="V1627" s="2747"/>
      <c r="W1627" s="2747"/>
      <c r="X1627" s="2747"/>
      <c r="Y1627" s="2747"/>
      <c r="Z1627" s="2747"/>
    </row>
    <row r="1628" spans="1:26" ht="15">
      <c r="A1628" s="2748"/>
      <c r="B1628" s="2747"/>
      <c r="C1628" s="2555" t="s">
        <v>4000</v>
      </c>
      <c r="D1628" s="2439"/>
      <c r="E1628" s="2362"/>
      <c r="F1628" s="2366">
        <f>'Part IX A-Scoring Criteria'!F74</f>
        <v>31.169074999999999</v>
      </c>
      <c r="G1628" s="2366">
        <f>'Part IX A-Scoring Criteria'!G74</f>
        <v>0</v>
      </c>
      <c r="H1628" s="2366">
        <f>'Part IX A-Scoring Criteria'!H74</f>
        <v>0</v>
      </c>
      <c r="I1628" s="2366">
        <f>'Part IX A-Scoring Criteria'!I74</f>
        <v>0</v>
      </c>
      <c r="J1628" s="2366">
        <f>'Part IX A-Scoring Criteria'!J74</f>
        <v>-83.779539</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4002</v>
      </c>
      <c r="E1629" s="2362"/>
      <c r="F1629" s="2366">
        <f>'Part IX A-Scoring Criteria'!F75</f>
        <v>0</v>
      </c>
      <c r="G1629" s="2366">
        <f>'Part IX A-Scoring Criteria'!G75</f>
        <v>0</v>
      </c>
      <c r="H1629" s="2366">
        <f>'Part IX A-Scoring Criteria'!H75</f>
        <v>0</v>
      </c>
      <c r="I1629" s="2366">
        <f>'Part IX A-Scoring Criteria'!I75</f>
        <v>0</v>
      </c>
      <c r="J1629" s="2366">
        <f>'Part IX A-Scoring Criteria'!J75</f>
        <v>0</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4191</v>
      </c>
      <c r="B1630" s="2652"/>
      <c r="C1630" s="2555" t="s">
        <v>4142</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4140</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2802</v>
      </c>
      <c r="B1633" s="2749"/>
      <c r="C1633" s="2747"/>
      <c r="D1633" s="2783"/>
      <c r="E1633" s="2747"/>
      <c r="F1633" s="2796" t="s">
        <v>4779</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1998</v>
      </c>
      <c r="B1634" s="2569" t="s">
        <v>3773</v>
      </c>
      <c r="C1634" s="2747"/>
      <c r="D1634" s="2783"/>
      <c r="E1634" s="2747"/>
      <c r="F1634" s="2766" t="s">
        <v>4780</v>
      </c>
      <c r="G1634" s="2747"/>
      <c r="H1634" s="2747"/>
      <c r="I1634" s="2797" t="s">
        <v>4781</v>
      </c>
      <c r="J1634" s="2797"/>
      <c r="K1634" s="2797"/>
      <c r="L1634" s="2797"/>
      <c r="M1634" s="2562">
        <v>6</v>
      </c>
      <c r="N1634" s="2773" t="s">
        <v>1998</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2001</v>
      </c>
      <c r="C1635" s="2661" t="s">
        <v>4782</v>
      </c>
      <c r="D1635" s="2661"/>
      <c r="E1635" s="2661"/>
      <c r="F1635" s="2661"/>
      <c r="G1635" s="2661"/>
      <c r="H1635" s="2661"/>
      <c r="I1635" s="2797"/>
      <c r="J1635" s="2797"/>
      <c r="K1635" s="2797"/>
      <c r="L1635" s="2797"/>
      <c r="M1635" s="2800">
        <v>5</v>
      </c>
      <c r="N1635" s="2792" t="s">
        <v>2001</v>
      </c>
      <c r="O1635" s="2785">
        <f>'Part IX A-Scoring Criteria'!O81</f>
        <v>0</v>
      </c>
      <c r="P1635" s="2785">
        <f>'Part IX A-Scoring Criteria'!P81</f>
        <v>0</v>
      </c>
      <c r="Q1635" s="2786" t="str">
        <f>IF(OR($O1635=$M1635,$O1635=0,$O1635=""),"","*CHECK!*")</f>
        <v/>
      </c>
      <c r="R1635" s="2787" t="s">
        <v>2723</v>
      </c>
      <c r="S1635" s="2798"/>
      <c r="T1635" s="2798"/>
      <c r="U1635" s="2798"/>
      <c r="V1635" s="2798"/>
      <c r="W1635" s="2798"/>
      <c r="X1635" s="2798"/>
      <c r="Y1635" s="2798"/>
      <c r="Z1635" s="2798"/>
    </row>
    <row r="1636" spans="1:26" ht="15" customHeight="1">
      <c r="A1636" s="2667" t="s">
        <v>1365</v>
      </c>
      <c r="B1636" s="2799" t="s">
        <v>2003</v>
      </c>
      <c r="C1636" s="2686" t="s">
        <v>4783</v>
      </c>
      <c r="D1636" s="2686"/>
      <c r="E1636" s="2686"/>
      <c r="F1636" s="2686"/>
      <c r="G1636" s="2686"/>
      <c r="H1636" s="2686"/>
      <c r="I1636" s="2797"/>
      <c r="J1636" s="2797"/>
      <c r="K1636" s="2797"/>
      <c r="L1636" s="2797"/>
      <c r="M1636" s="2800">
        <v>4</v>
      </c>
      <c r="N1636" s="2792" t="s">
        <v>2003</v>
      </c>
      <c r="O1636" s="2785">
        <f>'Part IX A-Scoring Criteria'!O82</f>
        <v>0</v>
      </c>
      <c r="P1636" s="2785">
        <f>'Part IX A-Scoring Criteria'!P82</f>
        <v>0</v>
      </c>
      <c r="Q1636" s="2786" t="str">
        <f>IF(OR($O1636=$M1636,$O1636=0,$O1636=""),"","*CHECK!*")</f>
        <v/>
      </c>
      <c r="R1636" s="2787" t="s">
        <v>2723</v>
      </c>
      <c r="S1636" s="2798"/>
      <c r="T1636" s="2798"/>
      <c r="U1636" s="2798"/>
      <c r="V1636" s="2798"/>
      <c r="W1636" s="2798"/>
      <c r="X1636" s="2798"/>
      <c r="Y1636" s="2798"/>
      <c r="Z1636" s="2798"/>
    </row>
    <row r="1637" spans="1:26" ht="15" customHeight="1">
      <c r="A1637" s="2798"/>
      <c r="B1637" s="2799" t="s">
        <v>2550</v>
      </c>
      <c r="C1637" s="2686" t="s">
        <v>3774</v>
      </c>
      <c r="D1637" s="2686"/>
      <c r="E1637" s="2686"/>
      <c r="F1637" s="2686"/>
      <c r="G1637" s="2702" t="s">
        <v>4139</v>
      </c>
      <c r="H1637" s="2694" t="str">
        <f>'Part I-Project Information'!$H$78</f>
        <v>Family</v>
      </c>
      <c r="I1637" s="2432" t="str">
        <f>'Part IX A-Scoring Criteria'!I83</f>
        <v>Southwest Georgia Regional Transit</v>
      </c>
      <c r="J1637" s="2432">
        <f>'Part IX A-Scoring Criteria'!J83</f>
        <v>0</v>
      </c>
      <c r="K1637" s="2432">
        <f>'Part IX A-Scoring Criteria'!K83</f>
        <v>0</v>
      </c>
      <c r="L1637" s="2801">
        <f>'Part IX A-Scoring Criteria'!L83</f>
        <v>2295223552</v>
      </c>
      <c r="M1637" s="2800">
        <v>1</v>
      </c>
      <c r="N1637" s="2792" t="s">
        <v>2550</v>
      </c>
      <c r="O1637" s="2785">
        <f>'Part IX A-Scoring Criteria'!O83</f>
        <v>0</v>
      </c>
      <c r="P1637" s="2785">
        <f>'Part IX A-Scoring Criteria'!P83</f>
        <v>0</v>
      </c>
      <c r="Q1637" s="2786" t="str">
        <f>IF(OR($O1637=$M1637,$O1637=0,$O1637=""),"","*CHECK!*")</f>
        <v/>
      </c>
      <c r="R1637" s="2787" t="s">
        <v>2723</v>
      </c>
      <c r="S1637" s="2798"/>
      <c r="T1637" s="2798"/>
      <c r="U1637" s="2798"/>
      <c r="V1637" s="2798"/>
      <c r="W1637" s="2798"/>
      <c r="X1637" s="2798"/>
      <c r="Y1637" s="2798"/>
      <c r="Z1637" s="2798"/>
    </row>
    <row r="1638" spans="1:26" ht="15">
      <c r="A1638" s="2701" t="s">
        <v>2000</v>
      </c>
      <c r="B1638" s="2802" t="s">
        <v>3775</v>
      </c>
      <c r="C1638" s="1327"/>
      <c r="D1638" s="1327"/>
      <c r="E1638" s="1327"/>
      <c r="F1638" s="2803" t="s">
        <v>4784</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2000</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2001</v>
      </c>
      <c r="C1639" s="2626" t="s">
        <v>4785</v>
      </c>
      <c r="D1639" s="2626"/>
      <c r="E1639" s="2626"/>
      <c r="F1639" s="2626"/>
      <c r="G1639" s="2626"/>
      <c r="H1639" s="2626"/>
      <c r="I1639" s="2432" t="str">
        <f>'Part IX A-Scoring Criteria'!I85</f>
        <v>http://www.swgrc.org/regional-transit/</v>
      </c>
      <c r="J1639" s="2432">
        <f>'Part IX A-Scoring Criteria'!J85</f>
        <v>0</v>
      </c>
      <c r="K1639" s="2432">
        <f>'Part IX A-Scoring Criteria'!K85</f>
        <v>0</v>
      </c>
      <c r="L1639" s="2432">
        <f>'Part IX A-Scoring Criteria'!L85</f>
        <v>0</v>
      </c>
      <c r="M1639" s="2800">
        <v>3</v>
      </c>
      <c r="N1639" s="2792" t="s">
        <v>2001</v>
      </c>
      <c r="O1639" s="2785">
        <f>'Part IX A-Scoring Criteria'!O85</f>
        <v>0</v>
      </c>
      <c r="P1639" s="2785">
        <f>'Part IX A-Scoring Criteria'!P85</f>
        <v>0</v>
      </c>
      <c r="Q1639" s="2786" t="str">
        <f>IF(OR($O1639=$M1639,$O1639=0,$O1639=""),"","*CHECK!*")</f>
        <v/>
      </c>
      <c r="R1639" s="2787" t="s">
        <v>2723</v>
      </c>
      <c r="S1639" s="2798"/>
      <c r="T1639" s="2798"/>
      <c r="U1639" s="2798"/>
      <c r="V1639" s="2798"/>
      <c r="W1639" s="2798"/>
      <c r="X1639" s="2798"/>
      <c r="Y1639" s="2798"/>
      <c r="Z1639" s="2798"/>
    </row>
    <row r="1640" spans="1:26" ht="15" customHeight="1">
      <c r="A1640" s="2713" t="s">
        <v>1365</v>
      </c>
      <c r="B1640" s="2799" t="s">
        <v>2003</v>
      </c>
      <c r="C1640" s="2626" t="s">
        <v>4786</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2003</v>
      </c>
      <c r="O1640" s="2785">
        <f>'Part IX A-Scoring Criteria'!O86</f>
        <v>0</v>
      </c>
      <c r="P1640" s="2785">
        <f>'Part IX A-Scoring Criteria'!P86</f>
        <v>0</v>
      </c>
      <c r="Q1640" s="2786" t="str">
        <f>IF(OR($O1640=$M1640,$O1640=0,$O1640=""),"","*CHECK!*")</f>
        <v/>
      </c>
      <c r="R1640" s="2787" t="s">
        <v>2723</v>
      </c>
      <c r="S1640" s="2747"/>
      <c r="T1640" s="2747"/>
      <c r="U1640" s="2747"/>
      <c r="V1640" s="2747"/>
      <c r="W1640" s="2747"/>
      <c r="X1640" s="2747"/>
      <c r="Y1640" s="2747"/>
      <c r="Z1640" s="2747"/>
    </row>
    <row r="1641" spans="1:26" ht="15" customHeight="1">
      <c r="A1641" s="2713" t="s">
        <v>1365</v>
      </c>
      <c r="B1641" s="2799" t="s">
        <v>2550</v>
      </c>
      <c r="C1641" s="2661" t="s">
        <v>4787</v>
      </c>
      <c r="D1641" s="2661"/>
      <c r="E1641" s="2661"/>
      <c r="F1641" s="2661"/>
      <c r="G1641" s="2661"/>
      <c r="H1641" s="2661"/>
      <c r="I1641" s="2432">
        <f>'Part IX A-Scoring Criteria'!I87</f>
        <v>0</v>
      </c>
      <c r="J1641" s="2432">
        <f>'Part IX A-Scoring Criteria'!J87</f>
        <v>0</v>
      </c>
      <c r="K1641" s="2432">
        <f>'Part IX A-Scoring Criteria'!K87</f>
        <v>0</v>
      </c>
      <c r="L1641" s="2432">
        <f>'Part IX A-Scoring Criteria'!L87</f>
        <v>0</v>
      </c>
      <c r="M1641" s="2800">
        <v>1</v>
      </c>
      <c r="N1641" s="2792" t="s">
        <v>2550</v>
      </c>
      <c r="O1641" s="2785">
        <f>'Part IX A-Scoring Criteria'!O87</f>
        <v>0</v>
      </c>
      <c r="P1641" s="2785">
        <f>'Part IX A-Scoring Criteria'!P87</f>
        <v>0</v>
      </c>
      <c r="Q1641" s="2786" t="str">
        <f>IF(OR($O1641=$M1641,$O1641=0,$O1641=""),"","*CHECK!*")</f>
        <v/>
      </c>
      <c r="R1641" s="2787" t="s">
        <v>2723</v>
      </c>
      <c r="S1641" s="2747"/>
      <c r="T1641" s="2747"/>
      <c r="U1641" s="2747"/>
      <c r="V1641" s="2747"/>
      <c r="W1641" s="2747"/>
      <c r="X1641" s="2747"/>
      <c r="Y1641" s="2747"/>
      <c r="Z1641" s="2747"/>
    </row>
    <row r="1642" spans="1:26" ht="15">
      <c r="A1642" s="2795" t="s">
        <v>2804</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4788</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2723</v>
      </c>
      <c r="S1643" s="2765"/>
      <c r="T1643" s="2765"/>
      <c r="U1643" s="2765"/>
      <c r="V1643" s="2765"/>
      <c r="W1643" s="2765"/>
      <c r="X1643" s="2765"/>
      <c r="Y1643" s="2765"/>
      <c r="Z1643" s="2765"/>
    </row>
    <row r="1644" spans="1:26" ht="15">
      <c r="A1644" s="478" t="s">
        <v>4789</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1879</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4790</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2811</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4004</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4009</v>
      </c>
      <c r="D1653" s="2810"/>
      <c r="E1653" s="2810"/>
      <c r="F1653" s="2810"/>
      <c r="G1653" s="2810"/>
      <c r="H1653" s="2810"/>
      <c r="I1653" s="2746">
        <f>'Part IX A-Scoring Criteria'!I99</f>
        <v>100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4010</v>
      </c>
      <c r="D1654" s="2810"/>
      <c r="E1654" s="2810"/>
      <c r="F1654" s="2810"/>
      <c r="G1654" s="2810"/>
      <c r="H1654" s="2810"/>
      <c r="I1654" s="2746">
        <f>'Part IX A-Scoring Criteria'!I100</f>
        <v>123</v>
      </c>
      <c r="J1654" s="2746">
        <f>'Part IX A-Scoring Criteria'!J100</f>
        <v>0</v>
      </c>
      <c r="K1654" s="2601"/>
      <c r="L1654" s="2810"/>
      <c r="M1654" s="2810"/>
      <c r="N1654" s="2810"/>
      <c r="O1654" s="2810" t="s">
        <v>4018</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1998</v>
      </c>
      <c r="B1656" s="2569" t="s">
        <v>4791</v>
      </c>
      <c r="D1656" s="2354"/>
      <c r="K1656" s="2524" t="str">
        <f>IF(OR(AND(O1656&gt;0,O1657&gt;0),AND(O1657&gt;0,O1658&gt;0),AND(O1656&gt;0,O1658&gt;0)),"Choose A, B, or C.  See instructions.",IF(AND(O1658&gt;0,O1659&gt;0),"Choose A or B when choosing D.  See instructions.",""))</f>
        <v/>
      </c>
      <c r="L1656" s="2524"/>
      <c r="M1656" s="2800">
        <v>2</v>
      </c>
      <c r="N1656" s="2702" t="s">
        <v>1998</v>
      </c>
      <c r="O1656" s="2785">
        <f>'Part IX A-Scoring Criteria'!O102</f>
        <v>0</v>
      </c>
      <c r="P1656" s="2785">
        <f>'Part IX A-Scoring Criteria'!P102</f>
        <v>0</v>
      </c>
      <c r="Q1656" s="2786" t="str">
        <f>IF(OR($O1656=$M1656,$O1656=0,$O1656=""),"","*CHECK!*")</f>
        <v/>
      </c>
      <c r="R1656" s="2787" t="s">
        <v>2723</v>
      </c>
    </row>
    <row r="1657" spans="1:26" ht="13.5" customHeight="1">
      <c r="A1657" s="2580" t="s">
        <v>2000</v>
      </c>
      <c r="B1657" s="2569" t="s">
        <v>312</v>
      </c>
      <c r="D1657" s="2354"/>
      <c r="E1657" s="2354"/>
      <c r="K1657" s="2524"/>
      <c r="L1657" s="2524"/>
      <c r="M1657" s="2800">
        <v>1</v>
      </c>
      <c r="N1657" s="2702" t="s">
        <v>2000</v>
      </c>
      <c r="O1657" s="2785">
        <f>'Part IX A-Scoring Criteria'!O103</f>
        <v>1</v>
      </c>
      <c r="P1657" s="2785">
        <f>'Part IX A-Scoring Criteria'!P103</f>
        <v>0</v>
      </c>
      <c r="Q1657" s="2786" t="str">
        <f>IF(OR($O1657=$M1657,$O1657=0,$O1657=""),"","*CHECK!*")</f>
        <v/>
      </c>
      <c r="R1657" s="2787" t="s">
        <v>2723</v>
      </c>
    </row>
    <row r="1658" spans="1:26" ht="13.5" customHeight="1">
      <c r="A1658" s="2580" t="s">
        <v>757</v>
      </c>
      <c r="B1658" s="2569" t="s">
        <v>4792</v>
      </c>
      <c r="D1658" s="2354"/>
      <c r="E1658" s="2354"/>
      <c r="F1658" s="2354"/>
      <c r="K1658" s="2524"/>
      <c r="L1658" s="2524"/>
      <c r="M1658" s="2800">
        <v>3</v>
      </c>
      <c r="N1658" s="2702" t="s">
        <v>757</v>
      </c>
      <c r="O1658" s="2785">
        <f>'Part IX A-Scoring Criteria'!O104</f>
        <v>0</v>
      </c>
      <c r="P1658" s="2785">
        <f>'Part IX A-Scoring Criteria'!P104</f>
        <v>0</v>
      </c>
      <c r="Q1658" s="2786" t="str">
        <f>IF(OR($O1658=$M1658,$O1658=0,$O1658=""),"","*CHECK!*")</f>
        <v/>
      </c>
      <c r="R1658" s="2787" t="s">
        <v>2723</v>
      </c>
    </row>
    <row r="1659" spans="1:26" ht="13.5" customHeight="1">
      <c r="A1659" s="2580" t="s">
        <v>2130</v>
      </c>
      <c r="B1659" s="2569" t="s">
        <v>3804</v>
      </c>
      <c r="D1659" s="2354"/>
      <c r="E1659" s="2354"/>
      <c r="F1659" s="478" t="s">
        <v>4019</v>
      </c>
      <c r="J1659" s="2562">
        <f>'Part IX A-Scoring Criteria'!J105</f>
        <v>2</v>
      </c>
      <c r="K1659" s="2524"/>
      <c r="L1659" s="2524"/>
      <c r="M1659" s="2800">
        <v>1</v>
      </c>
      <c r="N1659" s="2702" t="s">
        <v>2130</v>
      </c>
      <c r="O1659" s="2785">
        <f>'Part IX A-Scoring Criteria'!O105</f>
        <v>1</v>
      </c>
      <c r="P1659" s="2785">
        <f>'Part IX A-Scoring Criteria'!P105</f>
        <v>0</v>
      </c>
      <c r="Q1659" s="2786" t="str">
        <f>IF(OR($O1659=$M1659,$O1659=0,$O1659=""),"","*CHECK!*")</f>
        <v/>
      </c>
      <c r="R1659" s="2787" t="s">
        <v>2723</v>
      </c>
    </row>
    <row r="1660" spans="1:26" ht="15">
      <c r="A1660" s="2354"/>
      <c r="B1660" s="2766" t="s">
        <v>3780</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267.75">
      <c r="A1661" s="2432" t="str">
        <f>'Part IX A-Scoring Criteria'!A107</f>
        <v>The proposed development will be seeking an Earthcraft House Multifamily certification. The minimum score is 100 and we are projecting a score of 123.  Please see Tab 29 of the Application for Sustainable Developments for the documentation.</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1879</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4020</v>
      </c>
      <c r="C1665" s="2747"/>
      <c r="D1665" s="478"/>
      <c r="E1665" s="478"/>
      <c r="F1665" s="2562"/>
      <c r="G1665" s="2562"/>
      <c r="H1665" s="2562"/>
      <c r="I1665" s="2796" t="s">
        <v>4779</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1998</v>
      </c>
      <c r="B1667" s="2569" t="s">
        <v>4021</v>
      </c>
      <c r="C1667" s="2765"/>
      <c r="D1667" s="2783"/>
      <c r="E1667" s="1156" t="s">
        <v>4146</v>
      </c>
      <c r="F1667" s="2747"/>
      <c r="G1667" s="2694"/>
      <c r="H1667" s="2747"/>
      <c r="I1667" s="2702" t="s">
        <v>4139</v>
      </c>
      <c r="J1667" s="2694" t="str">
        <f>'Part I-Project Information'!$H$78</f>
        <v>Family</v>
      </c>
      <c r="K1667" s="2783"/>
      <c r="L1667" s="2710" t="str">
        <f>IF(OR($O1667=$M1667,$O1667=0,$O1667=""),"","* * Check Score! * *")</f>
        <v/>
      </c>
      <c r="M1667" s="2553">
        <v>3</v>
      </c>
      <c r="N1667" s="2702" t="s">
        <v>1998</v>
      </c>
      <c r="O1667" s="2746">
        <f>'Part IX A-Scoring Criteria'!O113</f>
        <v>3</v>
      </c>
      <c r="P1667" s="2746">
        <f>'Part IX A-Scoring Criteria'!P113</f>
        <v>0</v>
      </c>
      <c r="Q1667" s="2786" t="str">
        <f>IF(OR($O1667=$M1667,$O1667=0,$O1667=""),"","*CHECK!*")</f>
        <v/>
      </c>
      <c r="R1667" s="2787" t="s">
        <v>2723</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2000</v>
      </c>
      <c r="B1669" s="2569" t="s">
        <v>4023</v>
      </c>
      <c r="C1669" s="2765"/>
      <c r="D1669" s="2812"/>
      <c r="E1669" s="2406" t="s">
        <v>4255</v>
      </c>
      <c r="F1669" s="2747"/>
      <c r="G1669" s="2694"/>
      <c r="H1669" s="2747"/>
      <c r="I1669" s="2813"/>
      <c r="J1669" s="2783"/>
      <c r="K1669" s="2747"/>
      <c r="L1669" s="2710" t="str">
        <f>IF(OR($O1669&lt;=$M1669,$O1669=0,$O1669=""),"","* * Check Score! * *")</f>
        <v/>
      </c>
      <c r="M1669" s="2549">
        <v>3</v>
      </c>
      <c r="N1669" s="2702" t="s">
        <v>2000</v>
      </c>
      <c r="O1669" s="2746">
        <f>'Part IX A-Scoring Criteria'!O115</f>
        <v>0</v>
      </c>
      <c r="P1669" s="2746">
        <f>'Part IX A-Scoring Criteria'!P115</f>
        <v>0</v>
      </c>
      <c r="Q1669" s="2814"/>
      <c r="R1669" s="2814"/>
      <c r="S1669" s="2814"/>
      <c r="T1669" s="2814"/>
      <c r="U1669" s="2747"/>
      <c r="V1669" s="2747"/>
      <c r="W1669" s="2747"/>
      <c r="X1669" s="2747"/>
      <c r="Y1669" s="2747"/>
      <c r="Z1669" s="2747"/>
    </row>
    <row r="1670" spans="1:26" ht="18.75">
      <c r="A1670" s="2700"/>
      <c r="B1670" s="2815" t="s">
        <v>4176</v>
      </c>
      <c r="C1670" s="2597"/>
      <c r="D1670" s="2730"/>
      <c r="E1670" s="2730"/>
      <c r="F1670" s="2730"/>
      <c r="G1670" s="478"/>
      <c r="H1670" s="2816" t="str">
        <f>'Part IX A-Scoring Criteria'!H116</f>
        <v>&lt;&lt;Select&gt;&gt;</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22.5">
      <c r="A1671" s="2700"/>
      <c r="B1671" s="478"/>
      <c r="C1671" s="2817" t="s">
        <v>4177</v>
      </c>
      <c r="D1671" s="2626">
        <f>'Part IX A-Scoring Criteria'!D117</f>
        <v>0</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2001</v>
      </c>
      <c r="C1673" s="2569" t="s">
        <v>4024</v>
      </c>
      <c r="D1673" s="2765"/>
      <c r="E1673" s="2765"/>
      <c r="F1673" s="478"/>
      <c r="G1673" s="478"/>
      <c r="H1673" s="2765"/>
      <c r="I1673" s="2765"/>
      <c r="J1673" s="2765"/>
      <c r="K1673" s="2765"/>
      <c r="L1673" s="2710" t="str">
        <f>IF(OR($O1673=$M1673,$O1673=0,$O1673=""),"","* * Check Score! * *")</f>
        <v/>
      </c>
      <c r="M1673" s="2556">
        <v>2</v>
      </c>
      <c r="N1673" s="2784" t="s">
        <v>2001</v>
      </c>
      <c r="O1673" s="2746">
        <f>'Part IX A-Scoring Criteria'!O119</f>
        <v>0</v>
      </c>
      <c r="P1673" s="2746">
        <f>'Part IX A-Scoring Criteria'!P119</f>
        <v>0</v>
      </c>
      <c r="Q1673" s="2786" t="str">
        <f>IF(OR($O1673=$M1673,$O1673=0,$O1673=""),"","*CHECK!*")</f>
        <v/>
      </c>
      <c r="R1673" s="2787" t="s">
        <v>2723</v>
      </c>
      <c r="S1673" s="2814"/>
      <c r="T1673" s="2814"/>
      <c r="U1673" s="2765"/>
      <c r="V1673" s="2765"/>
      <c r="W1673" s="2765"/>
      <c r="X1673" s="2765"/>
      <c r="Y1673" s="2765"/>
      <c r="Z1673" s="2765"/>
    </row>
    <row r="1674" spans="1:26" ht="18.75">
      <c r="A1674" s="2580"/>
      <c r="B1674" s="2818"/>
      <c r="C1674" s="478" t="s">
        <v>4025</v>
      </c>
      <c r="D1674" s="2765"/>
      <c r="E1674" s="478"/>
      <c r="F1674" s="478"/>
      <c r="G1674" s="478"/>
      <c r="H1674" s="2765"/>
      <c r="I1674" s="2765"/>
      <c r="J1674" s="2765"/>
      <c r="K1674" s="2765"/>
      <c r="L1674" s="2765"/>
      <c r="M1674" s="2556"/>
      <c r="N1674" s="2556"/>
      <c r="O1674" s="2667">
        <f>'Part IX A-Scoring Criteria'!O120</f>
        <v>0</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4793</v>
      </c>
      <c r="D1675" s="2356" t="s">
        <v>4147</v>
      </c>
      <c r="E1675" s="2765"/>
      <c r="F1675" s="478"/>
      <c r="G1675" s="478"/>
      <c r="H1675" s="2517">
        <f>'Part IX A-Scoring Criteria'!H121</f>
        <v>0</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4028</v>
      </c>
      <c r="D1676" s="2765"/>
      <c r="E1676" s="478"/>
      <c r="F1676" s="478"/>
      <c r="G1676" s="478"/>
      <c r="H1676" s="2765"/>
      <c r="I1676" s="2765"/>
      <c r="J1676" s="2765"/>
      <c r="K1676" s="2765"/>
      <c r="L1676" s="2765"/>
      <c r="M1676" s="2553"/>
      <c r="N1676" s="2712" t="s">
        <v>3809</v>
      </c>
      <c r="O1676" s="2667">
        <f>'Part IX A-Scoring Criteria'!O122</f>
        <v>0</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4029</v>
      </c>
      <c r="D1677" s="478"/>
      <c r="E1677" s="478"/>
      <c r="F1677" s="478"/>
      <c r="G1677" s="478"/>
      <c r="H1677" s="478"/>
      <c r="I1677" s="478"/>
      <c r="J1677" s="478"/>
      <c r="K1677" s="478"/>
      <c r="L1677" s="478"/>
      <c r="M1677" s="2659"/>
      <c r="N1677" s="2702" t="s">
        <v>3810</v>
      </c>
      <c r="O1677" s="2667">
        <f>'Part IX A-Scoring Criteria'!O123</f>
        <v>0</v>
      </c>
      <c r="P1677" s="2667">
        <f>'Part IX A-Scoring Criteria'!P123</f>
        <v>0</v>
      </c>
      <c r="Q1677" s="2814"/>
      <c r="R1677" s="2814"/>
      <c r="S1677" s="2814"/>
      <c r="T1677" s="2814"/>
      <c r="U1677" s="478"/>
      <c r="V1677" s="478"/>
      <c r="W1677" s="478"/>
      <c r="X1677" s="478"/>
      <c r="Y1677" s="478"/>
      <c r="Z1677" s="478"/>
    </row>
    <row r="1678" spans="1:26">
      <c r="A1678" s="2700"/>
      <c r="B1678" s="1156"/>
      <c r="C1678" s="1156" t="s">
        <v>4174</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c r="A1679" s="2700"/>
      <c r="B1679" s="2702"/>
      <c r="C1679" s="2661">
        <f>'Part IX A-Scoring Criteria'!C125</f>
        <v>0</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&lt;&lt; Select &gt;&gt;</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c r="A1680" s="2700"/>
      <c r="B1680" s="2712"/>
      <c r="C1680" s="2661">
        <f>'Part IX A-Scoring Criteria'!C126</f>
        <v>0</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&lt;&lt; Select &gt;&gt;</v>
      </c>
      <c r="M1680" s="2686">
        <f>'Part IX A-Scoring Criteria'!M126</f>
        <v>0</v>
      </c>
      <c r="N1680" s="2686">
        <f>'Part IX A-Scoring Criteria'!N126</f>
        <v>0</v>
      </c>
      <c r="O1680" s="2820">
        <f>'Part IX A-Scoring Criteria'!O126</f>
        <v>0</v>
      </c>
      <c r="P1680" s="2820">
        <f>'Part IX A-Scoring Criteria'!P126</f>
        <v>0</v>
      </c>
      <c r="Q1680" s="2658" t="str">
        <f>IF(O1680&gt;15, "Too much!","")</f>
        <v/>
      </c>
      <c r="R1680" s="1156"/>
      <c r="S1680" s="1156"/>
      <c r="T1680" s="1156"/>
      <c r="U1680" s="1156"/>
      <c r="V1680" s="1156"/>
      <c r="W1680" s="1156"/>
      <c r="X1680" s="1156"/>
      <c r="Y1680" s="1156"/>
      <c r="Z1680" s="1156"/>
    </row>
    <row r="1681" spans="1:26">
      <c r="A1681" s="2700"/>
      <c r="B1681" s="2702"/>
      <c r="C1681" s="2661">
        <f>'Part IX A-Scoring Criteria'!C127</f>
        <v>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&lt;&lt; Select &gt;&gt;</v>
      </c>
      <c r="M1681" s="2686">
        <f>'Part IX A-Scoring Criteria'!M127</f>
        <v>0</v>
      </c>
      <c r="N1681" s="2686">
        <f>'Part IX A-Scoring Criteria'!N127</f>
        <v>0</v>
      </c>
      <c r="O1681" s="2820">
        <f>'Part IX A-Scoring Criteria'!O127</f>
        <v>0</v>
      </c>
      <c r="P1681" s="2820">
        <f>'Part IX A-Scoring Criteria'!P127</f>
        <v>0</v>
      </c>
      <c r="Q1681" s="2658" t="str">
        <f>IF(O1681&gt;15, "Too much!","")</f>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IF(O1682&gt;15, "Too much!","")</f>
        <v/>
      </c>
      <c r="R1682" s="1156"/>
      <c r="S1682" s="1156"/>
      <c r="T1682" s="1156"/>
      <c r="U1682" s="1156"/>
      <c r="V1682" s="1156"/>
      <c r="W1682" s="1156"/>
      <c r="X1682" s="1156"/>
      <c r="Y1682" s="1156"/>
      <c r="Z1682" s="1156"/>
    </row>
    <row r="1683" spans="1:26" ht="15">
      <c r="A1683" s="2765"/>
      <c r="B1683" s="2818"/>
      <c r="C1683" s="478" t="s">
        <v>4794</v>
      </c>
      <c r="D1683" s="478" t="s">
        <v>4030</v>
      </c>
      <c r="E1683" s="478"/>
      <c r="F1683" s="478"/>
      <c r="G1683" s="478"/>
      <c r="H1683" s="2765"/>
      <c r="I1683" s="2765"/>
      <c r="J1683" s="2765"/>
      <c r="K1683" s="2765"/>
      <c r="L1683" s="2765"/>
      <c r="M1683" s="2765"/>
      <c r="N1683" s="2712" t="s">
        <v>3809</v>
      </c>
      <c r="O1683" s="2667">
        <f>'Part IX A-Scoring Criteria'!O129</f>
        <v>0</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4031</v>
      </c>
      <c r="E1684" s="478"/>
      <c r="F1684" s="478"/>
      <c r="G1684" s="478"/>
      <c r="H1684" s="2765"/>
      <c r="I1684" s="2765"/>
      <c r="J1684" s="2765"/>
      <c r="K1684" s="2765"/>
      <c r="L1684" s="2765"/>
      <c r="M1684" s="2553"/>
      <c r="N1684" s="2702" t="s">
        <v>3810</v>
      </c>
      <c r="O1684" s="2667">
        <f>'Part IX A-Scoring Criteria'!O130</f>
        <v>0</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4179</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4208</v>
      </c>
      <c r="D1686" s="2700"/>
      <c r="E1686" s="2700"/>
      <c r="F1686" s="2700"/>
      <c r="G1686" s="2667">
        <f>'Part IX A-Scoring Criteria'!G132</f>
        <v>0</v>
      </c>
      <c r="H1686" s="2667">
        <f>'Part IX A-Scoring Criteria'!H132</f>
        <v>0</v>
      </c>
      <c r="I1686" s="2597" t="s">
        <v>4211</v>
      </c>
      <c r="J1686" s="1156"/>
      <c r="K1686" s="1156"/>
      <c r="L1686" s="2700"/>
      <c r="M1686" s="2700"/>
      <c r="N1686" s="2700"/>
      <c r="O1686" s="2667">
        <f>'Part IX A-Scoring Criteria'!O132</f>
        <v>0</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4209</v>
      </c>
      <c r="D1687" s="2700"/>
      <c r="E1687" s="2700"/>
      <c r="F1687" s="2700"/>
      <c r="G1687" s="2667">
        <f>'Part IX A-Scoring Criteria'!G133</f>
        <v>0</v>
      </c>
      <c r="H1687" s="2667">
        <f>'Part IX A-Scoring Criteria'!H133</f>
        <v>0</v>
      </c>
      <c r="I1687" s="478" t="s">
        <v>4212</v>
      </c>
      <c r="J1687" s="1156"/>
      <c r="K1687" s="1156"/>
      <c r="L1687" s="2700"/>
      <c r="M1687" s="2700"/>
      <c r="N1687" s="2700"/>
      <c r="O1687" s="2667">
        <f>'Part IX A-Scoring Criteria'!O133</f>
        <v>0</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4210</v>
      </c>
      <c r="D1688" s="2700"/>
      <c r="E1688" s="2700"/>
      <c r="F1688" s="2700"/>
      <c r="G1688" s="2667">
        <f>'Part IX A-Scoring Criteria'!G134</f>
        <v>0</v>
      </c>
      <c r="H1688" s="2667">
        <f>'Part IX A-Scoring Criteria'!H134</f>
        <v>0</v>
      </c>
      <c r="I1688" s="2597" t="s">
        <v>4213</v>
      </c>
      <c r="J1688" s="1156"/>
      <c r="K1688" s="1156"/>
      <c r="L1688" s="2700"/>
      <c r="M1688" s="2700"/>
      <c r="N1688" s="2700"/>
      <c r="O1688" s="2667">
        <f>'Part IX A-Scoring Criteria'!O134</f>
        <v>0</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2003</v>
      </c>
      <c r="C1691" s="2802" t="s">
        <v>3847</v>
      </c>
      <c r="D1691" s="2686"/>
      <c r="E1691" s="2798"/>
      <c r="F1691" s="2686"/>
      <c r="G1691" s="2686"/>
      <c r="H1691" s="2686"/>
      <c r="I1691" s="2686"/>
      <c r="J1691" s="2686"/>
      <c r="K1691" s="2686"/>
      <c r="L1691" s="2710" t="str">
        <f>IF(OR($O1691=$M1691,$O1691=0,$O1691=""),"","* * Check Score! * *")</f>
        <v/>
      </c>
      <c r="M1691" s="1323">
        <v>1</v>
      </c>
      <c r="N1691" s="2784" t="s">
        <v>2003</v>
      </c>
      <c r="O1691" s="2746">
        <f>'Part IX A-Scoring Criteria'!O137</f>
        <v>0</v>
      </c>
      <c r="P1691" s="2746">
        <f>'Part IX A-Scoring Criteria'!P137</f>
        <v>0</v>
      </c>
      <c r="Q1691" s="2786" t="str">
        <f>IF(OR($O1691=$M1691,$O1691=0,$O1691=""),"","*CHECK!*")</f>
        <v/>
      </c>
      <c r="R1691" s="2787" t="s">
        <v>2723</v>
      </c>
      <c r="S1691" s="2814"/>
      <c r="T1691" s="2814"/>
      <c r="U1691" s="2814"/>
      <c r="V1691" s="2798"/>
      <c r="W1691" s="2798"/>
      <c r="X1691" s="2798"/>
      <c r="Y1691" s="2798"/>
      <c r="Z1691" s="2798"/>
    </row>
    <row r="1692" spans="1:26" ht="18.75">
      <c r="A1692" s="2700"/>
      <c r="B1692" s="478"/>
      <c r="C1692" s="478" t="s">
        <v>4032</v>
      </c>
      <c r="D1692" s="2730"/>
      <c r="E1692" s="2730"/>
      <c r="F1692" s="2730"/>
      <c r="G1692" s="2730"/>
      <c r="H1692" s="2730"/>
      <c r="I1692" s="2730"/>
      <c r="J1692" s="2730"/>
      <c r="K1692" s="2730"/>
      <c r="L1692" s="2730"/>
      <c r="M1692" s="2659"/>
      <c r="N1692" s="478"/>
      <c r="O1692" s="2667">
        <f>'Part IX A-Scoring Criteria'!O138</f>
        <v>0</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4795</v>
      </c>
      <c r="D1693" s="2730"/>
      <c r="E1693" s="2730"/>
      <c r="F1693" s="2730"/>
      <c r="G1693" s="2597" t="s">
        <v>4034</v>
      </c>
      <c r="H1693" s="478"/>
      <c r="I1693" s="2730"/>
      <c r="J1693" s="2730"/>
      <c r="K1693" s="2730"/>
      <c r="L1693" s="2730"/>
      <c r="M1693" s="2702" t="s">
        <v>2450</v>
      </c>
      <c r="N1693" s="2702" t="s">
        <v>3809</v>
      </c>
      <c r="O1693" s="2667">
        <f>'Part IX A-Scoring Criteria'!O139</f>
        <v>0</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4035</v>
      </c>
      <c r="H1694" s="478"/>
      <c r="I1694" s="2730"/>
      <c r="J1694" s="2730"/>
      <c r="K1694" s="2730"/>
      <c r="L1694" s="2730"/>
      <c r="M1694" s="2659"/>
      <c r="N1694" s="2712" t="s">
        <v>3810</v>
      </c>
      <c r="O1694" s="2667">
        <f>'Part IX A-Scoring Criteria'!O140</f>
        <v>0</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4036</v>
      </c>
      <c r="H1695" s="478"/>
      <c r="I1695" s="2730"/>
      <c r="J1695" s="2730"/>
      <c r="K1695" s="2730"/>
      <c r="L1695" s="2730"/>
      <c r="M1695" s="2659"/>
      <c r="N1695" s="2702" t="s">
        <v>3811</v>
      </c>
      <c r="O1695" s="2667">
        <f>'Part IX A-Scoring Criteria'!O141</f>
        <v>0</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4037</v>
      </c>
      <c r="H1696" s="478"/>
      <c r="I1696" s="2730"/>
      <c r="J1696" s="2730"/>
      <c r="K1696" s="2730"/>
      <c r="L1696" s="2730"/>
      <c r="M1696" s="2659"/>
      <c r="N1696" s="2702" t="s">
        <v>3813</v>
      </c>
      <c r="O1696" s="2667">
        <f>'Part IX A-Scoring Criteria'!O142</f>
        <v>0</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4038</v>
      </c>
      <c r="H1697" s="478"/>
      <c r="I1697" s="2730"/>
      <c r="J1697" s="2730"/>
      <c r="K1697" s="2730"/>
      <c r="L1697" s="2730"/>
      <c r="M1697" s="2659"/>
      <c r="N1697" s="2712" t="s">
        <v>3814</v>
      </c>
      <c r="O1697" s="2667">
        <f>'Part IX A-Scoring Criteria'!O143</f>
        <v>0</v>
      </c>
      <c r="P1697" s="2667">
        <f>'Part IX A-Scoring Criteria'!P143</f>
        <v>0</v>
      </c>
      <c r="Q1697" s="478"/>
      <c r="R1697" s="478"/>
      <c r="S1697" s="478"/>
      <c r="T1697" s="478"/>
      <c r="U1697" s="478"/>
      <c r="V1697" s="478"/>
      <c r="W1697" s="478"/>
      <c r="X1697" s="478"/>
      <c r="Y1697" s="478"/>
      <c r="Z1697" s="478"/>
    </row>
    <row r="1698" spans="1:26">
      <c r="A1698" s="2700"/>
      <c r="B1698" s="2818"/>
      <c r="C1698" s="2597" t="s">
        <v>4796</v>
      </c>
      <c r="D1698" s="2730"/>
      <c r="E1698" s="2730"/>
      <c r="F1698" s="2730"/>
      <c r="G1698" s="2730"/>
      <c r="H1698" s="2730"/>
      <c r="I1698" s="2730"/>
      <c r="J1698" s="2730"/>
      <c r="K1698" s="2730"/>
      <c r="L1698" s="2730"/>
      <c r="M1698" s="2702"/>
      <c r="N1698" s="2702" t="s">
        <v>2451</v>
      </c>
      <c r="O1698" s="2667">
        <f>'Part IX A-Scoring Criteria'!O144</f>
        <v>0</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4180</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c r="A1700" s="2700"/>
      <c r="B1700" s="2702"/>
      <c r="C1700" s="2661">
        <f>'Part IX A-Scoring Criteria'!C146</f>
        <v>0</v>
      </c>
      <c r="D1700" s="2661">
        <f>'Part IX A-Scoring Criteria'!D146</f>
        <v>0</v>
      </c>
      <c r="E1700" s="2661">
        <f>'Part IX A-Scoring Criteria'!E146</f>
        <v>0</v>
      </c>
      <c r="F1700" s="2661">
        <f>'Part IX A-Scoring Criteria'!F146</f>
        <v>0</v>
      </c>
      <c r="G1700" s="2661">
        <f>'Part IX A-Scoring Criteria'!G146</f>
        <v>0</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c r="A1701" s="2700"/>
      <c r="B1701" s="2712"/>
      <c r="C1701" s="2661">
        <f>'Part IX A-Scoring Criteria'!C147</f>
        <v>0</v>
      </c>
      <c r="D1701" s="2661">
        <f>'Part IX A-Scoring Criteria'!D147</f>
        <v>0</v>
      </c>
      <c r="E1701" s="2661">
        <f>'Part IX A-Scoring Criteria'!E147</f>
        <v>0</v>
      </c>
      <c r="F1701" s="2661">
        <f>'Part IX A-Scoring Criteria'!F147</f>
        <v>0</v>
      </c>
      <c r="G1701" s="2661">
        <f>'Part IX A-Scoring Criteria'!G147</f>
        <v>0</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4216</v>
      </c>
      <c r="B1702" s="2517"/>
      <c r="C1702" s="2661">
        <f>'Part IX A-Scoring Criteria'!C148</f>
        <v>0</v>
      </c>
      <c r="D1702" s="2661">
        <f>'Part IX A-Scoring Criteria'!D148</f>
        <v>0</v>
      </c>
      <c r="E1702" s="2661">
        <f>'Part IX A-Scoring Criteria'!E148</f>
        <v>0</v>
      </c>
      <c r="F1702" s="2661">
        <f>'Part IX A-Scoring Criteria'!F148</f>
        <v>0</v>
      </c>
      <c r="G1702" s="2661">
        <f>'Part IX A-Scoring Criteria'!G148</f>
        <v>0</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4003</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1998</v>
      </c>
      <c r="B1709" s="2543" t="s">
        <v>4042</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4797</v>
      </c>
      <c r="C1712" s="2661"/>
      <c r="D1712" s="2661"/>
      <c r="E1712" s="478" t="s">
        <v>3853</v>
      </c>
      <c r="F1712" s="2765"/>
      <c r="G1712" s="478"/>
      <c r="H1712" s="2765"/>
      <c r="I1712" s="2626" t="str">
        <f>'Part IX A-Scoring Criteria'!I158</f>
        <v>Colquitt County - 635</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2922</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3896</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4798</v>
      </c>
      <c r="E1716" s="2356"/>
      <c r="F1716" s="2356"/>
      <c r="G1716" s="2685" t="s">
        <v>3418</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15">
      <c r="A1717" s="2702" t="s">
        <v>2450</v>
      </c>
      <c r="B1717" s="2633" t="s">
        <v>4041</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15">
      <c r="A1718" s="2712" t="s">
        <v>2451</v>
      </c>
      <c r="B1718" s="2633" t="s">
        <v>4217</v>
      </c>
      <c r="C1718" s="2747"/>
      <c r="D1718" s="2626">
        <f>'Part IX A-Scoring Criteria'!D164</f>
        <v>0</v>
      </c>
      <c r="E1718" s="2626">
        <f>'Part IX A-Scoring Criteria'!E164</f>
        <v>0</v>
      </c>
      <c r="F1718" s="2626">
        <f>'Part IX A-Scoring Criteria'!F164</f>
        <v>0</v>
      </c>
      <c r="G1718" s="2827">
        <f>'Part IX A-Scoring Criteria'!G164</f>
        <v>0</v>
      </c>
      <c r="H1718" s="2693">
        <f>'Part IX A-Scoring Criteria'!H164</f>
        <v>0</v>
      </c>
      <c r="I1718" s="2828">
        <f>'Part IX A-Scoring Criteria'!I164</f>
        <v>0</v>
      </c>
      <c r="J1718" s="2828">
        <f>'Part IX A-Scoring Criteria'!J164</f>
        <v>0</v>
      </c>
      <c r="K1718" s="2828">
        <f>'Part IX A-Scoring Criteria'!K164</f>
        <v>0</v>
      </c>
      <c r="L1718" s="2828">
        <f>'Part IX A-Scoring Criteria'!L164</f>
        <v>0</v>
      </c>
      <c r="M1718" s="2829" t="str">
        <f>IF(I1718+J1718+K1718+L1718=0,"",AVERAGE(I1718,J1718,K1718,L1718))</f>
        <v/>
      </c>
      <c r="N1718" s="2829"/>
      <c r="O1718" s="2556" t="str">
        <f>IF(M1718="","",IF(M1718&gt;Q1718,"Yes",IF(M1718&lt;Q1718,"No","")))</f>
        <v/>
      </c>
      <c r="P1718" s="2747"/>
      <c r="Q1718" s="2367">
        <v>72.099999999999994</v>
      </c>
      <c r="R1718" s="2367"/>
      <c r="S1718" s="2747"/>
      <c r="T1718" s="2747"/>
      <c r="U1718" s="2747"/>
      <c r="V1718" s="2747"/>
      <c r="W1718" s="2747"/>
      <c r="X1718" s="2747"/>
      <c r="Y1718" s="2747"/>
      <c r="Z1718" s="2747"/>
    </row>
    <row r="1719" spans="1:26" ht="45">
      <c r="A1719" s="2702" t="s">
        <v>2452</v>
      </c>
      <c r="B1719" s="2633" t="s">
        <v>4039</v>
      </c>
      <c r="C1719" s="2747"/>
      <c r="D1719" s="2626" t="str">
        <f>'Part IX A-Scoring Criteria'!D165</f>
        <v>Colquitt County High School - 1554</v>
      </c>
      <c r="E1719" s="2626">
        <f>'Part IX A-Scoring Criteria'!E165</f>
        <v>0</v>
      </c>
      <c r="F1719" s="2626">
        <f>'Part IX A-Scoring Criteria'!F165</f>
        <v>0</v>
      </c>
      <c r="G1719" s="2827" t="str">
        <f>'Part IX A-Scoring Criteria'!G165</f>
        <v>09-12</v>
      </c>
      <c r="H1719" s="2693" t="str">
        <f>'Part IX A-Scoring Criteria'!H165</f>
        <v>No</v>
      </c>
      <c r="I1719" s="2828">
        <f>'Part IX A-Scoring Criteria'!I165</f>
        <v>0</v>
      </c>
      <c r="J1719" s="2828">
        <f>'Part IX A-Scoring Criteria'!J165</f>
        <v>85.7</v>
      </c>
      <c r="K1719" s="2828">
        <f>'Part IX A-Scoring Criteria'!K165</f>
        <v>76.3</v>
      </c>
      <c r="L1719" s="2828">
        <f>'Part IX A-Scoring Criteria'!L165</f>
        <v>76.8</v>
      </c>
      <c r="M1719" s="2829">
        <f>IF(I1719+J1719+K1719+L1719=0,"",AVERAGE(I1719,J1719,K1719,L1719))</f>
        <v>59.7</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2453</v>
      </c>
      <c r="B1721" s="2725" t="s">
        <v>4041</v>
      </c>
      <c r="C1721" s="2747"/>
      <c r="D1721" s="2735">
        <f>IF(D1717="","",D1717)</f>
        <v>0</v>
      </c>
      <c r="E1721" s="2747"/>
      <c r="F1721" s="2747"/>
      <c r="G1721" s="2711">
        <f t="shared" ref="G1721:H1723" si="320">IF(G1717="","",G1717)</f>
        <v>0</v>
      </c>
      <c r="H1721" s="2711">
        <f t="shared" si="320"/>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2454</v>
      </c>
      <c r="B1722" s="2725" t="s">
        <v>4040</v>
      </c>
      <c r="C1722" s="2747"/>
      <c r="D1722" s="2735">
        <f>IF(D1718="","",D1718)</f>
        <v>0</v>
      </c>
      <c r="E1722" s="2747"/>
      <c r="F1722" s="2747"/>
      <c r="G1722" s="2711">
        <f t="shared" si="320"/>
        <v>0</v>
      </c>
      <c r="H1722" s="2711">
        <f t="shared" si="320"/>
        <v>0</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2470</v>
      </c>
      <c r="B1723" s="2725" t="s">
        <v>4039</v>
      </c>
      <c r="C1723" s="2747"/>
      <c r="D1723" s="2735" t="str">
        <f>IF(D1719="","",D1719)</f>
        <v>Colquitt County High School - 1554</v>
      </c>
      <c r="E1723" s="2747"/>
      <c r="F1723" s="2747"/>
      <c r="G1723" s="2711" t="str">
        <f t="shared" si="320"/>
        <v>09-12</v>
      </c>
      <c r="H1723" s="2711" t="str">
        <f t="shared" si="320"/>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2000</v>
      </c>
      <c r="B1725" s="2543" t="s">
        <v>4043</v>
      </c>
      <c r="C1725" s="2765"/>
      <c r="D1725" s="2812"/>
      <c r="E1725" s="2812"/>
      <c r="F1725" s="2796" t="s">
        <v>3411</v>
      </c>
      <c r="G1725" s="2765"/>
      <c r="H1725" s="2597" t="s">
        <v>3897</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4220</v>
      </c>
      <c r="F1726" s="2831" t="s">
        <v>3685</v>
      </c>
      <c r="G1726" s="2557" t="s">
        <v>3419</v>
      </c>
      <c r="H1726" s="2557"/>
      <c r="I1726" s="2557"/>
      <c r="J1726" s="2557"/>
      <c r="K1726" s="2557"/>
      <c r="L1726" s="2557"/>
      <c r="M1726" s="2557"/>
      <c r="N1726" s="2557"/>
      <c r="O1726" s="1156"/>
      <c r="P1726" s="2736"/>
      <c r="Q1726" s="1156"/>
      <c r="R1726" s="1156" t="s">
        <v>2849</v>
      </c>
      <c r="S1726" s="1156"/>
      <c r="T1726" s="2724" t="str">
        <f>'Part I-Project Information'!$F$38</f>
        <v>Moultrie</v>
      </c>
      <c r="U1726" s="2724"/>
      <c r="V1726" s="2724"/>
      <c r="W1726" s="2724"/>
      <c r="X1726" s="2724"/>
      <c r="Y1726" s="1156"/>
      <c r="Z1726" s="1156"/>
    </row>
    <row r="1727" spans="1:26" ht="12.75" customHeight="1">
      <c r="A1727" s="2700"/>
      <c r="B1727" s="2831" t="s">
        <v>4046</v>
      </c>
      <c r="C1727" s="2831"/>
      <c r="D1727" s="2831"/>
      <c r="E1727" s="2831"/>
      <c r="F1727" s="2831"/>
      <c r="G1727" s="2661" t="s">
        <v>4045</v>
      </c>
      <c r="H1727" s="2661"/>
      <c r="I1727" s="2661"/>
      <c r="J1727" s="2661"/>
      <c r="K1727" s="2661"/>
      <c r="L1727" s="2661"/>
      <c r="M1727" s="2661"/>
      <c r="N1727" s="2661"/>
      <c r="O1727" s="2831" t="s">
        <v>3686</v>
      </c>
      <c r="P1727" s="2831"/>
      <c r="Q1727" s="1156"/>
      <c r="R1727" s="2724" t="s">
        <v>2850</v>
      </c>
      <c r="S1727" s="1156"/>
      <c r="T1727" s="2724" t="str">
        <f>'Part I-Project Information'!$J$39</f>
        <v>Colquitt</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2851</v>
      </c>
      <c r="S1728" s="1156"/>
      <c r="T1728" s="2724" t="str">
        <f>'Part I-Project Information'!$O$40</f>
        <v>Colquitt Co.</v>
      </c>
      <c r="U1728" s="2724"/>
      <c r="V1728" s="2724"/>
      <c r="W1728" s="2724"/>
      <c r="X1728" s="2724"/>
      <c r="Y1728" s="1156"/>
      <c r="Z1728" s="1156"/>
    </row>
    <row r="1729" spans="1:26" ht="12.75" customHeight="1">
      <c r="A1729" s="2700"/>
      <c r="B1729" s="2626" t="s">
        <v>4044</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3890</v>
      </c>
      <c r="S1729" s="478"/>
      <c r="T1729" s="478" t="str">
        <f>VLOOKUP('Part I-Project Information'!$J$39,'DCA Underwriting Assumptions'!$G$155:$J$314,4)</f>
        <v>Non-MSA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3891</v>
      </c>
      <c r="C1731" s="1156"/>
      <c r="D1731" s="1156"/>
      <c r="E1731" s="2835"/>
      <c r="F1731" s="2835"/>
      <c r="G1731" s="2835"/>
      <c r="H1731" s="1156"/>
      <c r="I1731" s="2835">
        <f>'Part IX A-Scoring Criteria'!I177</f>
        <v>3000</v>
      </c>
      <c r="J1731" s="2835">
        <f>'Part IX A-Scoring Criteria'!J177</f>
        <v>0</v>
      </c>
      <c r="K1731" s="1156"/>
      <c r="L1731" s="1156"/>
      <c r="M1731" s="1156"/>
      <c r="N1731" s="1156"/>
      <c r="O1731" s="1156"/>
      <c r="P1731" s="1156"/>
      <c r="Q1731" s="1156"/>
      <c r="R1731" s="1156" t="s">
        <v>3651</v>
      </c>
      <c r="S1731" s="1156"/>
      <c r="T1731" s="2724" t="str">
        <f>'Part I-Project Information'!$K$40</f>
        <v>Rural</v>
      </c>
      <c r="U1731" s="2724"/>
      <c r="V1731" s="2724"/>
      <c r="W1731" s="2724"/>
      <c r="X1731" s="2724"/>
      <c r="Y1731" s="1156"/>
      <c r="Z1731" s="1156"/>
    </row>
    <row r="1732" spans="1:26" ht="13.5">
      <c r="A1732" s="2725"/>
      <c r="B1732" s="2735" t="s">
        <v>3650</v>
      </c>
      <c r="C1732" s="1156"/>
      <c r="D1732" s="1156"/>
      <c r="E1732" s="1156"/>
      <c r="F1732" s="1156"/>
      <c r="G1732" s="1156"/>
      <c r="H1732" s="2836" t="str">
        <f>IF(I1732&lt;I1731,"Threshold not met!","")</f>
        <v/>
      </c>
      <c r="I1732" s="2835">
        <f>'Part IX A-Scoring Criteria'!I178</f>
        <v>5403</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2001</v>
      </c>
      <c r="C1734" s="478" t="s">
        <v>4219</v>
      </c>
      <c r="D1734" s="2724"/>
      <c r="E1734" s="2724"/>
      <c r="F1734" s="2724"/>
      <c r="G1734" s="2724"/>
      <c r="H1734" s="2837" t="s">
        <v>2001</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2003</v>
      </c>
      <c r="C1735" s="478" t="s">
        <v>4047</v>
      </c>
      <c r="D1735" s="2824"/>
      <c r="E1735" s="2824"/>
      <c r="F1735" s="2824"/>
      <c r="G1735" s="1156"/>
      <c r="H1735" s="2837" t="s">
        <v>2003</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3914</v>
      </c>
      <c r="D1736" s="2824"/>
      <c r="E1736" s="2824"/>
      <c r="F1736" s="2824"/>
      <c r="G1736" s="2813"/>
      <c r="H1736" s="1156"/>
      <c r="I1736" s="2717">
        <f>'Part IX A-Scoring Criteria'!I182</f>
        <v>0.80099999999999993</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3780</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Please see Tab 31 of the application for evidence that the project is within the boundaries of Colquitt County High School and the CCRPI reports for 2015, 2016 and 2017 showing a three year average above the threshold for the Quality Education Area point. Also in included in Tab 30 of the application is the report from the Census Bureau's OnTheMap website demonstrating that the site meets the requirements for 2 points in this section as well as documentation identifying the address entered into the search box. The propsed site exceeds the minimum jobs threshold by 50%.</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1879</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4053</v>
      </c>
      <c r="C1743" s="2765"/>
      <c r="D1743" s="2766"/>
      <c r="E1743" s="2766"/>
      <c r="F1743" s="2765"/>
      <c r="G1743" s="2765"/>
      <c r="H1743" s="2598" t="s">
        <v>4054</v>
      </c>
      <c r="I1743" s="2839"/>
      <c r="J1743" s="2839"/>
      <c r="K1743" s="2659"/>
      <c r="L1743" s="2659"/>
      <c r="M1743" s="2562">
        <v>7</v>
      </c>
      <c r="N1743" s="2553"/>
      <c r="O1743" s="2746">
        <f>'Part IX A-Scoring Criteria'!O189</f>
        <v>6</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4799</v>
      </c>
      <c r="C1745" s="2569"/>
      <c r="D1745" s="2569"/>
      <c r="E1745" s="2356" t="s">
        <v>4230</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2526</v>
      </c>
      <c r="L1746" s="2711" t="s">
        <v>2526</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2450</v>
      </c>
      <c r="C1747" s="2661" t="s">
        <v>4182</v>
      </c>
      <c r="D1747" s="2661"/>
      <c r="E1747" s="2661"/>
      <c r="F1747" s="2661"/>
      <c r="G1747" s="2661"/>
      <c r="H1747" s="2661"/>
      <c r="I1747" s="2661"/>
      <c r="J1747" s="2712" t="s">
        <v>2450</v>
      </c>
      <c r="K1747" s="2667" t="str">
        <f>'Part IX A-Scoring Criteria'!K193</f>
        <v>Yes</v>
      </c>
      <c r="L1747" s="2667">
        <f>'Part IX A-Scoring Criteria'!L193</f>
        <v>0</v>
      </c>
      <c r="M1747" s="2841" t="str">
        <f>'Part IX A-Scoring Criteria'!M193</f>
        <v>6-13, 18-20</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2451</v>
      </c>
      <c r="C1749" s="2661" t="s">
        <v>4800</v>
      </c>
      <c r="D1749" s="2661"/>
      <c r="E1749" s="2661"/>
      <c r="F1749" s="2661"/>
      <c r="G1749" s="2661"/>
      <c r="H1749" s="2747"/>
      <c r="I1749" s="2747"/>
      <c r="J1749" s="2702" t="s">
        <v>2451</v>
      </c>
      <c r="K1749" s="2667" t="str">
        <f>'Part IX A-Scoring Criteria'!K195</f>
        <v>Yes</v>
      </c>
      <c r="L1749" s="2667">
        <f>'Part IX A-Scoring Criteria'!L195</f>
        <v>0</v>
      </c>
      <c r="M1749" s="2841" t="str">
        <f>'Part IX A-Scoring Criteria'!M195</f>
        <v>16-17</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2452</v>
      </c>
      <c r="C1750" s="2686" t="s">
        <v>2842</v>
      </c>
      <c r="D1750" s="2686"/>
      <c r="E1750" s="2686"/>
      <c r="F1750" s="2686"/>
      <c r="G1750" s="2686"/>
      <c r="H1750" s="2686"/>
      <c r="I1750" s="2678"/>
      <c r="J1750" s="2712" t="s">
        <v>2452</v>
      </c>
      <c r="K1750" s="2667" t="str">
        <f>'Part IX A-Scoring Criteria'!K196</f>
        <v>Yes</v>
      </c>
      <c r="L1750" s="2667">
        <f>'Part IX A-Scoring Criteria'!L196</f>
        <v>0</v>
      </c>
      <c r="M1750" s="2841" t="str">
        <f>'Part IX A-Scoring Criteria'!M196</f>
        <v>4, 6, 13, 15</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2453</v>
      </c>
      <c r="C1751" s="2762" t="s">
        <v>4058</v>
      </c>
      <c r="D1751" s="2686"/>
      <c r="E1751" s="2686"/>
      <c r="F1751" s="2686"/>
      <c r="G1751" s="2686"/>
      <c r="H1751" s="2686"/>
      <c r="I1751" s="2678"/>
      <c r="J1751" s="2712" t="s">
        <v>2453</v>
      </c>
      <c r="K1751" s="2667" t="str">
        <f>'Part IX A-Scoring Criteria'!K197</f>
        <v>Yes</v>
      </c>
      <c r="L1751" s="2667">
        <f>'Part IX A-Scoring Criteria'!L197</f>
        <v>0</v>
      </c>
      <c r="M1751" s="2841" t="str">
        <f>'Part IX A-Scoring Criteria'!M197</f>
        <v>4, 6 9, 11, 13</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4227</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2454</v>
      </c>
      <c r="C1753" s="2686" t="s">
        <v>4048</v>
      </c>
      <c r="D1753" s="2686"/>
      <c r="E1753" s="2686"/>
      <c r="F1753" s="2686"/>
      <c r="G1753" s="2686"/>
      <c r="H1753" s="2686"/>
      <c r="I1753" s="2678"/>
      <c r="J1753" s="2712" t="s">
        <v>2454</v>
      </c>
      <c r="K1753" s="2667" t="str">
        <f>'Part IX A-Scoring Criteria'!K199</f>
        <v>Yes</v>
      </c>
      <c r="L1753" s="2667">
        <f>'Part IX A-Scoring Criteria'!L199</f>
        <v>0</v>
      </c>
      <c r="M1753" s="2841" t="str">
        <f>'Part IX A-Scoring Criteria'!M199</f>
        <v>7-13, 22-41</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2470</v>
      </c>
      <c r="C1754" s="2686" t="s">
        <v>2843</v>
      </c>
      <c r="D1754" s="2686"/>
      <c r="E1754" s="2686"/>
      <c r="F1754" s="2686"/>
      <c r="G1754" s="2686"/>
      <c r="H1754" s="2678"/>
      <c r="I1754" s="2678"/>
      <c r="J1754" s="2712" t="s">
        <v>2470</v>
      </c>
      <c r="K1754" s="2667" t="str">
        <f>'Part IX A-Scoring Criteria'!K200</f>
        <v>Yes</v>
      </c>
      <c r="L1754" s="2667">
        <f>'Part IX A-Scoring Criteria'!L200</f>
        <v>0</v>
      </c>
      <c r="M1754" s="2841" t="str">
        <f>'Part IX A-Scoring Criteria'!M200</f>
        <v>9, 11-13</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2471</v>
      </c>
      <c r="C1755" s="2686" t="s">
        <v>4049</v>
      </c>
      <c r="D1755" s="2686"/>
      <c r="E1755" s="2686"/>
      <c r="F1755" s="2686"/>
      <c r="G1755" s="2678"/>
      <c r="H1755" s="2678"/>
      <c r="I1755" s="2678"/>
      <c r="J1755" s="2712" t="s">
        <v>2471</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4050</v>
      </c>
      <c r="E1756" s="2686"/>
      <c r="F1756" s="2843">
        <f>'Part IX A-Scoring Criteria'!F202</f>
        <v>40680</v>
      </c>
      <c r="G1756" s="2843">
        <f>'Part IX A-Scoring Criteria'!G202</f>
        <v>0</v>
      </c>
      <c r="H1756" s="2678"/>
      <c r="I1756" s="2686" t="s">
        <v>4051</v>
      </c>
      <c r="J1756" s="2678"/>
      <c r="K1756" s="2843">
        <f>'Part IX A-Scoring Criteria'!K202</f>
        <v>43221</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2472</v>
      </c>
      <c r="C1757" s="2686" t="s">
        <v>4801</v>
      </c>
      <c r="D1757" s="2686"/>
      <c r="E1757" s="2686"/>
      <c r="F1757" s="2686"/>
      <c r="G1757" s="2678"/>
      <c r="H1757" s="2678"/>
      <c r="I1757" s="2678"/>
      <c r="J1757" s="2712" t="s">
        <v>2472</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120">
      <c r="B1759" s="2694" t="s">
        <v>4183</v>
      </c>
      <c r="E1759" s="2354"/>
      <c r="G1759" s="2809" t="str">
        <f>'Part IX A-Scoring Criteria'!G205</f>
        <v>http://www.moultriega.com/departments/planning-community-development/reports-plans-applications-checklists/</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1998</v>
      </c>
      <c r="B1761" s="2569" t="s">
        <v>4052</v>
      </c>
      <c r="M1761" s="2553">
        <v>5</v>
      </c>
      <c r="N1761" s="2700" t="s">
        <v>1998</v>
      </c>
      <c r="O1761" s="2844">
        <f>'Part IX A-Scoring Criteria'!O207</f>
        <v>5</v>
      </c>
      <c r="P1761" s="2844">
        <f>'Part IX A-Scoring Criteria'!P207</f>
        <v>0</v>
      </c>
      <c r="Q1761" s="2406"/>
      <c r="X1761" s="2551"/>
      <c r="Y1761" s="2702"/>
    </row>
    <row r="1762" spans="1:26" ht="12.75" customHeight="1">
      <c r="A1762" s="2700"/>
      <c r="B1762" s="2823" t="s">
        <v>2001</v>
      </c>
      <c r="C1762" s="2661" t="s">
        <v>4802</v>
      </c>
      <c r="D1762" s="2661"/>
      <c r="E1762" s="2661"/>
      <c r="F1762" s="2661"/>
      <c r="G1762" s="2661"/>
      <c r="H1762" s="2661"/>
      <c r="I1762" s="2661"/>
      <c r="J1762" s="2661"/>
      <c r="K1762" s="2661"/>
      <c r="L1762" s="2710" t="str">
        <f>IF(OR($O1762=$M1762,$O1762=0,$O1762=""),"","* * Check Score! * *")</f>
        <v/>
      </c>
      <c r="M1762" s="2716">
        <v>3</v>
      </c>
      <c r="N1762" s="2792" t="s">
        <v>2001</v>
      </c>
      <c r="O1762" s="2785">
        <f>'Part IX A-Scoring Criteria'!O208</f>
        <v>3</v>
      </c>
      <c r="P1762" s="2785">
        <f>'Part IX A-Scoring Criteria'!P208</f>
        <v>0</v>
      </c>
      <c r="Q1762" s="2786" t="str">
        <f>IF(OR($O1762=$M1762,$O1762=0,$O1762=""),"","*CHECK!*")</f>
        <v/>
      </c>
      <c r="R1762" s="2351" t="s">
        <v>2723</v>
      </c>
    </row>
    <row r="1763" spans="1:26" ht="12.75" customHeight="1">
      <c r="A1763" s="2700"/>
      <c r="B1763" s="2823" t="s">
        <v>2003</v>
      </c>
      <c r="C1763" s="2736" t="s">
        <v>4803</v>
      </c>
      <c r="D1763" s="2736"/>
      <c r="E1763" s="2736"/>
      <c r="F1763" s="2736"/>
      <c r="G1763" s="2736"/>
      <c r="H1763" s="2736"/>
      <c r="I1763" s="2736"/>
      <c r="J1763" s="2736"/>
      <c r="K1763" s="2736"/>
      <c r="L1763" s="2710" t="str">
        <f>IF(OR($O1763=$M1763,$O1763=0,$O1763=""),"","* * Check Score! * *")</f>
        <v/>
      </c>
      <c r="M1763" s="2716">
        <v>2</v>
      </c>
      <c r="N1763" s="2792" t="s">
        <v>2003</v>
      </c>
      <c r="O1763" s="2785">
        <f>'Part IX A-Scoring Criteria'!O209</f>
        <v>2</v>
      </c>
      <c r="P1763" s="2785">
        <f>'Part IX A-Scoring Criteria'!P209</f>
        <v>0</v>
      </c>
      <c r="Q1763" s="2786" t="str">
        <f>IF(OR($O1763=$M1763,$O1763=0,$O1763=""),"","*CHECK!*")</f>
        <v/>
      </c>
      <c r="R1763" s="2351" t="s">
        <v>2723</v>
      </c>
    </row>
    <row r="1764" spans="1:26">
      <c r="A1764" s="2700"/>
      <c r="B1764" s="2735"/>
      <c r="C1764" s="2735" t="s">
        <v>3806</v>
      </c>
      <c r="E1764" s="2735" t="str">
        <f>'Part I-Project Information'!$N$39</f>
        <v>Yes</v>
      </c>
      <c r="G1764" s="2735" t="s">
        <v>3599</v>
      </c>
      <c r="I1764" s="2845" t="str">
        <f>'Part I-Project Information'!$O$38</f>
        <v>13071970702</v>
      </c>
      <c r="J1764" s="2845"/>
      <c r="K1764" s="2597" t="s">
        <v>3395</v>
      </c>
      <c r="M1764" s="2597" t="str">
        <f>'Part IV-A-Uses of Funds'!$H$152</f>
        <v>DDA/QCT</v>
      </c>
    </row>
    <row r="1765" spans="1:26">
      <c r="A1765" s="2700"/>
      <c r="B1765" s="2735"/>
      <c r="D1765" s="2711"/>
      <c r="E1765" s="2735"/>
      <c r="G1765" s="2597"/>
      <c r="K1765" s="2597"/>
      <c r="L1765" s="2597"/>
    </row>
    <row r="1766" spans="1:26">
      <c r="A1766" s="2580" t="s">
        <v>2000</v>
      </c>
      <c r="B1766" s="2569" t="s">
        <v>4055</v>
      </c>
      <c r="D1766" s="2354"/>
      <c r="K1766" s="2585"/>
      <c r="L1766" s="2710" t="str">
        <f>IF(OR($O1766=$M1766,$O1766=0,$O1766=""),"","* * Check Score! * *")</f>
        <v>* * Check Score! * *</v>
      </c>
      <c r="M1766" s="2553">
        <v>2</v>
      </c>
      <c r="N1766" s="2700" t="s">
        <v>2000</v>
      </c>
      <c r="O1766" s="2746">
        <f>'Part IX A-Scoring Criteria'!O212</f>
        <v>1</v>
      </c>
      <c r="P1766" s="2746">
        <f>'Part IX A-Scoring Criteria'!P212</f>
        <v>0</v>
      </c>
      <c r="Q1766" s="2786" t="str">
        <f>IF(OR($O1766=$M1766,$O1766=0,$O1766=""),"","*CHECK!*")</f>
        <v>*CHECK!*</v>
      </c>
      <c r="R1766" s="2351" t="s">
        <v>2723</v>
      </c>
    </row>
    <row r="1767" spans="1:26" ht="18.75">
      <c r="A1767" s="2580"/>
      <c r="B1767" s="478" t="s">
        <v>2811</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 Check Score! * *</v>
      </c>
      <c r="U1767" s="2747"/>
      <c r="V1767" s="2814"/>
      <c r="W1767" s="2814"/>
      <c r="X1767" s="2747"/>
      <c r="Y1767" s="2747"/>
      <c r="Z1767" s="2747"/>
    </row>
    <row r="1768" spans="1:26" ht="18.75">
      <c r="A1768" s="2709"/>
      <c r="B1768" s="478" t="s">
        <v>3887</v>
      </c>
      <c r="C1768" s="2747"/>
      <c r="D1768" s="2747"/>
      <c r="E1768" s="2747"/>
      <c r="F1768" s="2747"/>
      <c r="G1768" s="2747"/>
      <c r="H1768" s="2747"/>
      <c r="I1768" s="2747"/>
      <c r="J1768" s="2626" t="str">
        <f>'Part IX A-Scoring Criteria'!J214</f>
        <v>City of Moultrie</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3888</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3649</v>
      </c>
      <c r="N1769" s="2747"/>
      <c r="O1769" s="2747"/>
      <c r="P1769" s="2747"/>
      <c r="Q1769" s="2747"/>
      <c r="R1769" s="2747"/>
      <c r="S1769" s="2747"/>
      <c r="T1769" s="2747"/>
      <c r="U1769" s="2747"/>
      <c r="V1769" s="2814"/>
      <c r="W1769" s="2814"/>
      <c r="X1769" s="2747"/>
      <c r="Y1769" s="2747"/>
      <c r="Z1769" s="2747"/>
    </row>
    <row r="1770" spans="1:26" ht="18.75">
      <c r="A1770" s="2640"/>
      <c r="B1770" s="2735" t="s">
        <v>4244</v>
      </c>
      <c r="F1770" s="2678"/>
      <c r="G1770" s="2678"/>
      <c r="H1770" s="2678"/>
      <c r="L1770" s="2694" t="str">
        <f>'Part IX A-Scoring Criteria'!L216</f>
        <v>No</v>
      </c>
      <c r="M1770" s="2846">
        <f>'Part IX A-Scoring Criteria'!M216</f>
        <v>43830</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0.5</v>
      </c>
      <c r="K1771" s="2848" t="s">
        <v>3816</v>
      </c>
      <c r="L1771" s="2678"/>
      <c r="N1771" s="2549"/>
      <c r="O1771" s="2551"/>
      <c r="P1771" s="2551"/>
      <c r="V1771" s="2814"/>
      <c r="W1771" s="2814"/>
    </row>
    <row r="1772" spans="1:26" ht="18.75" customHeight="1">
      <c r="A1772" s="2849" t="s">
        <v>4224</v>
      </c>
      <c r="B1772" s="2661" t="s">
        <v>4221</v>
      </c>
      <c r="C1772" s="2661"/>
      <c r="D1772" s="2432" t="str">
        <f>'Part IX A-Scoring Criteria'!D218</f>
        <v>The off-site capital investment totalling $205,110 is comprised of multiple projects including the addition of a neighborhood greenspace and outdoor walking trail park area, and the redevelopment of  uninhabitable, unsafe housing in order to reduce physical and social blight. Sources include donated land, city in-kind services, City General Fund, and 3rd party private investment in conjunction with increased city initiative and code enforcement.</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4222</v>
      </c>
      <c r="C1773" s="2661"/>
      <c r="D1773" s="2432" t="str">
        <f>'Part IX A-Scoring Criteria'!D219</f>
        <v xml:space="preserve">The capital investments mentioned above have directly contributed to the implementation of the City of Moultrie's Urban Redevelopment Plan intiatives which include improving physical development infrastructure, social conditions, and redevelopment of blighted and threatened areas. </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4223</v>
      </c>
      <c r="C1774" s="2517"/>
      <c r="D1774" s="2432" t="str">
        <f>'Part IX A-Scoring Criteria'!D220</f>
        <v xml:space="preserve">The residents of Sparrow Pointe at Forest Hill will enjoy direct access to the neighborhood greenspace and outdoor walking trail park area located directly West of the proposed development site. The rehabilitation of blighted areas and homes will improve the walkability, safety, and overall quality of life for residents of the Sparrow Pointe at Forest Hill. </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3475</v>
      </c>
      <c r="G1775" s="478" t="s">
        <v>2645</v>
      </c>
      <c r="H1775" s="478"/>
      <c r="J1775" s="2850">
        <f>'Part IX A-Scoring Criteria'!J221</f>
        <v>205110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4549</v>
      </c>
      <c r="D1776" s="2664"/>
      <c r="E1776" s="2747"/>
      <c r="F1776" s="2747"/>
      <c r="G1776" s="2851">
        <f>'Part IV-A-Uses of Funds'!$G$132</f>
        <v>10134678</v>
      </c>
      <c r="H1776" s="2851"/>
      <c r="I1776" s="2747"/>
      <c r="J1776" s="2852">
        <f>'Part IX A-Scoring Criteria'!J222</f>
        <v>2.0238432834274556E-2</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3780</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Please see Tab 32 of the application for evidence of the project site in a QCT, the DCA Community Redevelopment Certificate and additional information regarding the redevelopment plan. A full copy of the plan is included in Tab 32 and meets the DCA requirements and clearly delineates the Targeted Area, which includes the proposed site, but not the entire surrounding city, provides evidence of public input and engagement during the planning stages, contains policy goals that call for the rehabilitation/production of affordable rental housing, specifies implementation measures/timeframes/resources for achievements, includes an assessment of the existing physical structures and infrastructure of the proposed community and has been officially adopted by the Local Government.</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1879</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4056</v>
      </c>
      <c r="C1782" s="2664"/>
      <c r="D1782" s="2664"/>
      <c r="E1782" s="2664"/>
      <c r="F1782" s="2664"/>
      <c r="G1782" s="2664"/>
      <c r="H1782" s="2664"/>
      <c r="I1782" s="2664"/>
      <c r="J1782" s="2664"/>
      <c r="K1782" s="2693" t="s">
        <v>3265</v>
      </c>
      <c r="L1782" s="2693" t="s">
        <v>258</v>
      </c>
      <c r="M1782" s="2562">
        <v>3</v>
      </c>
      <c r="N1782" s="2782"/>
      <c r="O1782" s="2753"/>
      <c r="P1782" s="2746">
        <f>'Part IX A-Scoring Criteria'!P228</f>
        <v>0</v>
      </c>
      <c r="Q1782" s="2562" t="s">
        <v>443</v>
      </c>
      <c r="R1782" s="2351" t="s">
        <v>2723</v>
      </c>
      <c r="S1782" s="2747"/>
      <c r="T1782" s="2747"/>
      <c r="U1782" s="2747"/>
      <c r="V1782" s="2747"/>
      <c r="W1782" s="2747"/>
      <c r="X1782" s="2747"/>
      <c r="Y1782" s="2747"/>
      <c r="Z1782" s="2747"/>
    </row>
    <row r="1783" spans="1:26" ht="15">
      <c r="A1783" s="2580"/>
      <c r="B1783" s="2694" t="s">
        <v>4059</v>
      </c>
      <c r="C1783" s="2747"/>
      <c r="D1783" s="1156" t="s">
        <v>4060</v>
      </c>
      <c r="E1783" s="2747"/>
      <c r="F1783" s="2747"/>
      <c r="G1783" s="2747"/>
      <c r="H1783" s="2747"/>
      <c r="I1783" s="2747"/>
      <c r="J1783" s="2747"/>
      <c r="K1783" s="2844">
        <f>'Part IX A-Scoring Criteria'!K229</f>
        <v>6</v>
      </c>
      <c r="L1783" s="2844">
        <f>'Part IX A-Scoring Criteria'!L229</f>
        <v>0</v>
      </c>
      <c r="M1783" s="2747"/>
      <c r="N1783" s="2702" t="s">
        <v>2450</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4061</v>
      </c>
      <c r="E1784" s="2747"/>
      <c r="F1784" s="2747"/>
      <c r="G1784" s="2747"/>
      <c r="H1784" s="2747"/>
      <c r="I1784" s="2747"/>
      <c r="J1784" s="2747"/>
      <c r="K1784" s="2844">
        <f>'Part IX A-Scoring Criteria'!K230</f>
        <v>3</v>
      </c>
      <c r="L1784" s="2844">
        <f>'Part IX A-Scoring Criteria'!L230</f>
        <v>0</v>
      </c>
      <c r="M1784" s="2747"/>
      <c r="N1784" s="2702" t="s">
        <v>2451</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4062</v>
      </c>
      <c r="E1785" s="2747"/>
      <c r="F1785" s="2747"/>
      <c r="G1785" s="2747"/>
      <c r="H1785" s="2747"/>
      <c r="I1785" s="2747"/>
      <c r="J1785" s="2747"/>
      <c r="K1785" s="2747"/>
      <c r="L1785" s="2747"/>
      <c r="M1785" s="2747"/>
      <c r="N1785" s="2702" t="s">
        <v>2452</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4063</v>
      </c>
      <c r="E1786" s="2747"/>
      <c r="F1786" s="2747"/>
      <c r="G1786" s="2747"/>
      <c r="H1786" s="2747"/>
      <c r="I1786" s="2747"/>
      <c r="J1786" s="2747"/>
      <c r="K1786" s="2747"/>
      <c r="L1786" s="2747"/>
      <c r="M1786" s="2747"/>
      <c r="N1786" s="2702" t="s">
        <v>2453</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4064</v>
      </c>
      <c r="E1787" s="2747"/>
      <c r="F1787" s="2747"/>
      <c r="G1787" s="2747"/>
      <c r="H1787" s="2747"/>
      <c r="I1787" s="2747"/>
      <c r="J1787" s="2747"/>
      <c r="K1787" s="2747"/>
      <c r="L1787" s="2747"/>
      <c r="M1787" s="2747"/>
      <c r="N1787" s="2702" t="s">
        <v>2454</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1998</v>
      </c>
      <c r="B1789" s="2569" t="s">
        <v>4804</v>
      </c>
      <c r="D1789" s="2354"/>
      <c r="G1789" s="2735" t="s">
        <v>3812</v>
      </c>
      <c r="Q1789" s="2406"/>
    </row>
    <row r="1790" spans="1:26">
      <c r="A1790" s="2700"/>
      <c r="B1790" s="478" t="s">
        <v>3892</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2721</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2209</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2001</v>
      </c>
      <c r="C1793" s="2657" t="s">
        <v>4065</v>
      </c>
      <c r="D1793" s="2686"/>
      <c r="E1793" s="2686"/>
      <c r="F1793" s="2686"/>
      <c r="G1793" s="2686"/>
      <c r="H1793" s="2686"/>
      <c r="I1793" s="2686"/>
      <c r="J1793" s="2686"/>
      <c r="K1793" s="2686"/>
      <c r="L1793" s="2686"/>
      <c r="M1793" s="2686"/>
      <c r="N1793" s="2686"/>
      <c r="O1793" s="2659" t="s">
        <v>2526</v>
      </c>
      <c r="P1793" s="2659" t="s">
        <v>2526</v>
      </c>
      <c r="Q1793" s="2686"/>
    </row>
    <row r="1794" spans="1:26" ht="18.75" customHeight="1">
      <c r="A1794" s="2659"/>
      <c r="B1794" s="2721"/>
      <c r="C1794" s="2626" t="s">
        <v>4805</v>
      </c>
      <c r="D1794" s="2626"/>
      <c r="E1794" s="2626"/>
      <c r="F1794" s="2626"/>
      <c r="G1794" s="2626"/>
      <c r="H1794" s="2626"/>
      <c r="I1794" s="2626"/>
      <c r="J1794" s="2626"/>
      <c r="K1794" s="2626"/>
      <c r="L1794" s="2626"/>
      <c r="M1794" s="2354"/>
      <c r="N1794" s="2773" t="s">
        <v>2001</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2450</v>
      </c>
      <c r="C1795" s="478" t="s">
        <v>4067</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2721</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4069</v>
      </c>
      <c r="P1795" s="2517"/>
      <c r="Q1795" s="2686"/>
      <c r="S1795" s="2354"/>
      <c r="T1795" s="2354"/>
      <c r="U1795" s="2354"/>
      <c r="V1795" s="2814"/>
      <c r="W1795" s="2814"/>
      <c r="X1795" s="2354"/>
      <c r="Y1795" s="2354"/>
      <c r="Z1795" s="2354"/>
    </row>
    <row r="1796" spans="1:26" ht="18.75">
      <c r="A1796" s="2700"/>
      <c r="B1796" s="2354"/>
      <c r="C1796" s="478" t="s">
        <v>2209</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2451</v>
      </c>
      <c r="C1797" s="478" t="s">
        <v>4068</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2721</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4069</v>
      </c>
      <c r="P1797" s="2517"/>
      <c r="Q1797" s="2686"/>
      <c r="S1797" s="2354"/>
      <c r="T1797" s="2354"/>
      <c r="U1797" s="2354"/>
      <c r="V1797" s="2814"/>
      <c r="W1797" s="2814"/>
      <c r="X1797" s="2354"/>
      <c r="Y1797" s="2354"/>
      <c r="Z1797" s="2354"/>
    </row>
    <row r="1798" spans="1:26" ht="18.75">
      <c r="A1798" s="2700"/>
      <c r="B1798" s="2354"/>
      <c r="C1798" s="478" t="s">
        <v>2209</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2003</v>
      </c>
      <c r="C1799" s="2657" t="s">
        <v>4070</v>
      </c>
      <c r="D1799" s="2686"/>
      <c r="E1799" s="2686"/>
      <c r="F1799" s="2686"/>
      <c r="G1799" s="2735" t="s">
        <v>3812</v>
      </c>
      <c r="H1799" s="2686"/>
      <c r="I1799" s="2686"/>
      <c r="J1799" s="2686"/>
      <c r="K1799" s="2686"/>
      <c r="L1799" s="2686"/>
      <c r="M1799" s="2686"/>
      <c r="N1799" s="2686"/>
      <c r="O1799" s="2659" t="s">
        <v>2526</v>
      </c>
      <c r="P1799" s="2659" t="s">
        <v>2526</v>
      </c>
      <c r="Q1799" s="2686"/>
    </row>
    <row r="1800" spans="1:26" ht="18.75" customHeight="1">
      <c r="A1800" s="2700"/>
      <c r="B1800" s="2854"/>
      <c r="C1800" s="2661" t="s">
        <v>4806</v>
      </c>
      <c r="D1800" s="2661"/>
      <c r="E1800" s="2661"/>
      <c r="F1800" s="2661"/>
      <c r="G1800" s="2661"/>
      <c r="H1800" s="2661"/>
      <c r="I1800" s="2661"/>
      <c r="J1800" s="2661"/>
      <c r="K1800" s="2661"/>
      <c r="L1800" s="2661"/>
      <c r="M1800" s="2661"/>
      <c r="N1800" s="2773" t="s">
        <v>2003</v>
      </c>
      <c r="O1800" s="2713">
        <f>'Part IX A-Scoring Criteria'!O246</f>
        <v>0</v>
      </c>
      <c r="P1800" s="2713">
        <f>'Part IX A-Scoring Criteria'!P246</f>
        <v>0</v>
      </c>
      <c r="Q1800" s="2715"/>
      <c r="V1800" s="2814"/>
      <c r="W1800" s="2814"/>
    </row>
    <row r="1801" spans="1:26" ht="18.75">
      <c r="A1801" s="2700"/>
      <c r="B1801" s="2702" t="s">
        <v>2450</v>
      </c>
      <c r="C1801" s="2721" t="s">
        <v>4186</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2451</v>
      </c>
      <c r="C1805" s="2721" t="s">
        <v>4184</v>
      </c>
      <c r="D1805" s="2664"/>
      <c r="E1805" s="2664"/>
      <c r="F1805" s="2664"/>
      <c r="G1805" s="2664"/>
      <c r="H1805" s="2664"/>
      <c r="I1805" s="2664"/>
      <c r="J1805" s="2664"/>
      <c r="K1805" s="2664"/>
      <c r="L1805" s="2661" t="s">
        <v>4188</v>
      </c>
      <c r="M1805" s="2661"/>
      <c r="N1805" s="2686" t="s">
        <v>4189</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2550</v>
      </c>
      <c r="C1809" s="2657" t="s">
        <v>4071</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4075</v>
      </c>
      <c r="D1810" s="2626"/>
      <c r="E1810" s="2626"/>
      <c r="F1810" s="2626"/>
      <c r="G1810" s="2626"/>
      <c r="H1810" s="2626"/>
      <c r="I1810" s="2626"/>
      <c r="J1810" s="2626"/>
      <c r="K1810" s="2626"/>
      <c r="L1810" s="2626"/>
      <c r="M1810" s="2626"/>
      <c r="N1810" s="2773" t="s">
        <v>2550</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4077</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2450</v>
      </c>
      <c r="C1813" s="2626" t="s">
        <v>4078</v>
      </c>
      <c r="D1813" s="2626"/>
      <c r="E1813" s="2626"/>
      <c r="F1813" s="2626"/>
      <c r="G1813" s="2626"/>
      <c r="H1813" s="2626"/>
      <c r="I1813" s="2626"/>
      <c r="J1813" s="2626"/>
      <c r="K1813" s="2626"/>
      <c r="L1813" s="2626"/>
      <c r="M1813" s="2626"/>
      <c r="N1813" s="2702" t="s">
        <v>2450</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2451</v>
      </c>
      <c r="C1814" s="2626" t="s">
        <v>4079</v>
      </c>
      <c r="D1814" s="2626"/>
      <c r="E1814" s="2626"/>
      <c r="F1814" s="2626"/>
      <c r="G1814" s="2626"/>
      <c r="H1814" s="2626"/>
      <c r="I1814" s="2626"/>
      <c r="J1814" s="2626"/>
      <c r="K1814" s="2626"/>
      <c r="L1814" s="2626"/>
      <c r="M1814" s="2626"/>
      <c r="N1814" s="2702" t="s">
        <v>2451</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2000</v>
      </c>
      <c r="B1816" s="2569" t="s">
        <v>4807</v>
      </c>
      <c r="D1816" s="2354"/>
      <c r="G1816" s="2735" t="s">
        <v>3812</v>
      </c>
      <c r="O1816" s="2659" t="s">
        <v>2526</v>
      </c>
      <c r="P1816" s="2659" t="s">
        <v>2526</v>
      </c>
      <c r="Q1816" s="2406"/>
    </row>
    <row r="1817" spans="1:26" ht="18.75" customHeight="1">
      <c r="A1817" s="2700"/>
      <c r="B1817" s="2823" t="s">
        <v>2001</v>
      </c>
      <c r="C1817" s="2661" t="s">
        <v>4073</v>
      </c>
      <c r="D1817" s="2661"/>
      <c r="E1817" s="2661"/>
      <c r="F1817" s="2661"/>
      <c r="G1817" s="2661"/>
      <c r="H1817" s="2661"/>
      <c r="I1817" s="2661"/>
      <c r="J1817" s="2661"/>
      <c r="K1817" s="2661"/>
      <c r="L1817" s="2661"/>
      <c r="M1817" s="2857" t="s">
        <v>2000</v>
      </c>
      <c r="N1817" s="2773" t="s">
        <v>2001</v>
      </c>
      <c r="O1817" s="2713">
        <f>'Part IX A-Scoring Criteria'!O263</f>
        <v>0</v>
      </c>
      <c r="P1817" s="2713">
        <f>'Part IX A-Scoring Criteria'!P263</f>
        <v>0</v>
      </c>
      <c r="Q1817" s="2406"/>
      <c r="V1817" s="2814"/>
      <c r="W1817" s="2814"/>
    </row>
    <row r="1818" spans="1:26" ht="18.75">
      <c r="A1818" s="2700"/>
      <c r="B1818" s="2823" t="s">
        <v>2003</v>
      </c>
      <c r="C1818" s="2597" t="s">
        <v>4074</v>
      </c>
      <c r="D1818" s="2626"/>
      <c r="E1818" s="2626"/>
      <c r="F1818" s="2626"/>
      <c r="G1818" s="2626"/>
      <c r="H1818" s="2626"/>
      <c r="I1818" s="2626"/>
      <c r="J1818" s="2626"/>
      <c r="K1818" s="2626"/>
      <c r="L1818" s="2626"/>
      <c r="M1818" s="2626"/>
      <c r="N1818" s="2773" t="s">
        <v>2003</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3780</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15.75">
      <c r="A1820" s="2432" t="str">
        <f>'Part IX A-Scoring Criteria'!A266</f>
        <v>N/A</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1879</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2803</v>
      </c>
      <c r="C1824" s="2765"/>
      <c r="D1824" s="2766"/>
      <c r="E1824" s="2766"/>
      <c r="F1824" s="2765"/>
      <c r="G1824" s="2765"/>
      <c r="H1824" s="2356" t="s">
        <v>4232</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3625</v>
      </c>
      <c r="B1826" s="2569" t="s">
        <v>3623</v>
      </c>
      <c r="C1826" s="2765"/>
      <c r="D1826" s="2766"/>
      <c r="E1826" s="2766"/>
      <c r="F1826" s="2765"/>
      <c r="G1826" s="2765"/>
      <c r="H1826" s="2356"/>
      <c r="I1826" s="2765"/>
      <c r="J1826" s="2765"/>
      <c r="K1826" s="2765"/>
      <c r="L1826" s="2765"/>
      <c r="M1826" s="2553">
        <v>3</v>
      </c>
      <c r="N1826" s="2809" t="s">
        <v>4083</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2811</v>
      </c>
      <c r="C1827" s="1330"/>
      <c r="D1827" s="1330"/>
      <c r="H1827" s="2569" t="str">
        <f>'Part I-Project Information'!$H$100</f>
        <v>Rural</v>
      </c>
      <c r="N1827" s="2809"/>
      <c r="O1827" s="2711" t="s">
        <v>2526</v>
      </c>
      <c r="P1827" s="2711" t="s">
        <v>2526</v>
      </c>
    </row>
    <row r="1828" spans="1:26" ht="12.75" customHeight="1">
      <c r="A1828" s="2859"/>
      <c r="B1828" s="2818" t="s">
        <v>2001</v>
      </c>
      <c r="C1828" s="1156" t="s">
        <v>2701</v>
      </c>
      <c r="M1828" s="2549"/>
      <c r="N1828" s="2809"/>
      <c r="O1828" s="2667">
        <f>'Part IX A-Scoring Criteria'!O274</f>
        <v>0</v>
      </c>
      <c r="P1828" s="2667">
        <f>'Part IX A-Scoring Criteria'!P274</f>
        <v>0</v>
      </c>
      <c r="Q1828" s="2860" t="str">
        <f>IF(AND(O1828="Yes",O1831="Yes"),"Only 1 or 4 can be 'Yes'!","")</f>
        <v/>
      </c>
      <c r="R1828" s="2860"/>
    </row>
    <row r="1829" spans="1:26" ht="12.75" customHeight="1">
      <c r="B1829" s="2818" t="s">
        <v>2003</v>
      </c>
      <c r="C1829" s="1156" t="s">
        <v>2756</v>
      </c>
      <c r="G1829" s="1156" t="s">
        <v>2404</v>
      </c>
      <c r="H1829" s="2861" t="str">
        <f>'Part IX A-Scoring Criteria'!H275</f>
        <v>&lt; Select &gt;</v>
      </c>
      <c r="I1829" s="1156" t="s">
        <v>2757</v>
      </c>
      <c r="L1829" s="478" t="s">
        <v>2755</v>
      </c>
      <c r="M1829" s="2658" t="str">
        <f>IF(O1829&gt;H1829,"CHECK ACTUAL PERCENT!!!","")</f>
        <v/>
      </c>
      <c r="N1829" s="2784" t="s">
        <v>2003</v>
      </c>
      <c r="O1829" s="2862">
        <f>'Part IX A-Scoring Criteria'!O275</f>
        <v>0</v>
      </c>
      <c r="P1829" s="2862">
        <f>'Part IX A-Scoring Criteria'!P275</f>
        <v>0</v>
      </c>
      <c r="Q1829" s="2860"/>
      <c r="R1829" s="2860"/>
    </row>
    <row r="1830" spans="1:26" ht="12.75" customHeight="1">
      <c r="B1830" s="2818" t="s">
        <v>2550</v>
      </c>
      <c r="C1830" s="1156" t="s">
        <v>2405</v>
      </c>
      <c r="G1830" s="1156" t="s">
        <v>2406</v>
      </c>
      <c r="L1830" s="2597" t="s">
        <v>2749</v>
      </c>
      <c r="M1830" s="2354"/>
      <c r="N1830" s="2784" t="s">
        <v>2550</v>
      </c>
      <c r="O1830" s="2659" t="str">
        <f>'Part IX A-Scoring Criteria'!O276</f>
        <v>&lt;Select&gt;</v>
      </c>
      <c r="P1830" s="2659" t="str">
        <f>'Part IX A-Scoring Criteria'!P276</f>
        <v>&lt;Select&gt;</v>
      </c>
      <c r="Q1830" s="2860"/>
      <c r="R1830" s="2860"/>
    </row>
    <row r="1831" spans="1:26" ht="12.75" customHeight="1">
      <c r="A1831" s="2678"/>
      <c r="B1831" s="2823" t="s">
        <v>1236</v>
      </c>
      <c r="C1831" s="2661" t="s">
        <v>4808</v>
      </c>
      <c r="D1831" s="2661"/>
      <c r="E1831" s="2661"/>
      <c r="F1831" s="2661"/>
      <c r="G1831" s="2661"/>
      <c r="H1831" s="2661"/>
      <c r="I1831" s="2661"/>
      <c r="J1831" s="2863" t="s">
        <v>4082</v>
      </c>
      <c r="K1831" s="2863" t="s">
        <v>4080</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4145</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3624</v>
      </c>
      <c r="C1834" s="1156"/>
      <c r="G1834" s="1156"/>
      <c r="M1834" s="2553">
        <v>2</v>
      </c>
      <c r="N1834" s="2583" t="s">
        <v>757</v>
      </c>
      <c r="O1834" s="2565">
        <f>'Part IX A-Scoring Criteria'!O280</f>
        <v>0</v>
      </c>
      <c r="P1834" s="2565">
        <f>'Part IX A-Scoring Criteria'!P280</f>
        <v>0</v>
      </c>
    </row>
    <row r="1835" spans="1:26">
      <c r="A1835" s="2604"/>
      <c r="B1835" s="2724" t="s">
        <v>3628</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2130</v>
      </c>
      <c r="B1836" s="2818" t="s">
        <v>3626</v>
      </c>
      <c r="C1836" s="1156"/>
      <c r="G1836" s="2735" t="s">
        <v>3627</v>
      </c>
      <c r="H1836" s="2869">
        <f>'Part VI-Revenues &amp; Expenses'!$O$59</f>
        <v>0</v>
      </c>
      <c r="I1836" s="2711" t="s">
        <v>3630</v>
      </c>
      <c r="J1836" s="2869">
        <f>'Part VI-Revenues &amp; Expenses'!$O$62</f>
        <v>50</v>
      </c>
      <c r="K1836" s="2711" t="s">
        <v>3631</v>
      </c>
      <c r="L1836" s="2870">
        <f>IF(J1836=0,0,H1836/J1836)</f>
        <v>0</v>
      </c>
      <c r="M1836" s="2553">
        <v>2</v>
      </c>
      <c r="N1836" s="2554" t="s">
        <v>2130</v>
      </c>
      <c r="O1836" s="2562">
        <f>'Part IX A-Scoring Criteria'!O282</f>
        <v>0</v>
      </c>
      <c r="P1836" s="2562">
        <f>'Part IX A-Scoring Criteria'!P282</f>
        <v>0</v>
      </c>
    </row>
    <row r="1837" spans="1:26" ht="15">
      <c r="A1837" s="2354"/>
      <c r="B1837" s="2662" t="s">
        <v>1879</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4084</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1998</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1998</v>
      </c>
      <c r="O1841" s="2667">
        <f>'Part IX A-Scoring Criteria'!O287</f>
        <v>0</v>
      </c>
      <c r="P1841" s="2667">
        <f>'Part IX A-Scoring Criteria'!P287</f>
        <v>0</v>
      </c>
      <c r="U1841" s="2711">
        <f>IF(L1841="Yes",1,0)</f>
        <v>0</v>
      </c>
    </row>
    <row r="1842" spans="1:26">
      <c r="A1842" s="2561" t="s">
        <v>2000</v>
      </c>
      <c r="B1842" s="2872" t="s">
        <v>3820</v>
      </c>
      <c r="D1842" s="2721"/>
      <c r="L1842" s="2721"/>
      <c r="M1842" s="2873"/>
      <c r="N1842" s="2702" t="s">
        <v>2000</v>
      </c>
      <c r="O1842" s="2667">
        <f>'Part IX A-Scoring Criteria'!O288</f>
        <v>0</v>
      </c>
      <c r="P1842" s="2667">
        <f>'Part IX A-Scoring Criteria'!P288</f>
        <v>0</v>
      </c>
      <c r="U1842" s="2711">
        <f>IF(L1842="Yes",1,0)</f>
        <v>0</v>
      </c>
    </row>
    <row r="1843" spans="1:26" ht="15">
      <c r="A1843" s="2354"/>
      <c r="B1843" s="2766" t="s">
        <v>3780</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15.75">
      <c r="A1844" s="2661" t="str">
        <f>'Part IX A-Scoring Criteria'!A290</f>
        <v>N/A</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1879</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2474</v>
      </c>
      <c r="C1848" s="2747"/>
      <c r="D1848" s="2783"/>
      <c r="E1848" s="2783"/>
      <c r="F1848" s="2783"/>
      <c r="G1848" s="2747"/>
      <c r="H1848" s="2796" t="s">
        <v>3411</v>
      </c>
      <c r="I1848" s="2747"/>
      <c r="J1848" s="2658" t="s">
        <v>2811</v>
      </c>
      <c r="K1848" s="2555"/>
      <c r="L1848" s="2658" t="str">
        <f>'Part I-Project Information'!$H$100</f>
        <v>Rural</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1998</v>
      </c>
      <c r="B1849" s="2569" t="s">
        <v>4809</v>
      </c>
      <c r="D1849" s="2354"/>
      <c r="E1849" s="2354"/>
      <c r="F1849" s="2354"/>
      <c r="H1849" s="2658" t="s">
        <v>3708</v>
      </c>
      <c r="I1849" s="1156"/>
      <c r="J1849" s="2658" t="str">
        <f>'Part I-Project Information'!$O$34</f>
        <v>No</v>
      </c>
      <c r="K1849" s="2658"/>
      <c r="L1849" s="2813">
        <f>'Part I-Project Information'!$O$35</f>
        <v>0</v>
      </c>
      <c r="M1849" s="2553">
        <v>3</v>
      </c>
      <c r="N1849" s="2702" t="s">
        <v>1998</v>
      </c>
      <c r="O1849" s="2746">
        <f>'Part IX A-Scoring Criteria'!O295</f>
        <v>0</v>
      </c>
      <c r="P1849" s="2746">
        <f>'Part IX A-Scoring Criteria'!P295</f>
        <v>0</v>
      </c>
      <c r="Q1849" s="2786" t="str">
        <f>IF(OR($O1849=$M1849,$O1849=0,$O1849=""),"","*CHECK!*")</f>
        <v/>
      </c>
      <c r="R1849" s="2830" t="s">
        <v>2723</v>
      </c>
    </row>
    <row r="1850" spans="1:26" ht="12.75" customHeight="1">
      <c r="A1850" s="1156"/>
      <c r="B1850" s="2823" t="s">
        <v>2001</v>
      </c>
      <c r="C1850" s="2661" t="s">
        <v>4245</v>
      </c>
      <c r="D1850" s="2661"/>
      <c r="E1850" s="2661"/>
      <c r="F1850" s="2661"/>
      <c r="G1850" s="2661"/>
      <c r="H1850" s="2661"/>
      <c r="I1850" s="2661"/>
      <c r="J1850" s="2661"/>
      <c r="K1850" s="2661"/>
      <c r="L1850" s="2661"/>
      <c r="M1850" s="2661"/>
      <c r="N1850" s="2773" t="s">
        <v>2001</v>
      </c>
      <c r="O1850" s="2713">
        <f>'Part IX A-Scoring Criteria'!O296</f>
        <v>0</v>
      </c>
      <c r="P1850" s="2713">
        <f>'Part IX A-Scoring Criteria'!P296</f>
        <v>0</v>
      </c>
      <c r="Q1850" s="2661" t="s">
        <v>4810</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2599</v>
      </c>
      <c r="I1851" s="2811">
        <f>'Part IX A-Scoring Criteria'!I297</f>
        <v>0</v>
      </c>
      <c r="J1851" s="2597" t="s">
        <v>2316</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3889</v>
      </c>
      <c r="D1852" s="478"/>
      <c r="E1852" s="478"/>
      <c r="F1852" s="478"/>
      <c r="G1852" s="478"/>
      <c r="H1852" s="2597" t="s">
        <v>2599</v>
      </c>
      <c r="I1852" s="2811">
        <f>'Part IX A-Scoring Criteria'!I298</f>
        <v>0</v>
      </c>
      <c r="J1852" s="2597" t="s">
        <v>2316</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2003</v>
      </c>
      <c r="C1853" s="478" t="s">
        <v>972</v>
      </c>
      <c r="D1853" s="478"/>
      <c r="E1853" s="478"/>
      <c r="F1853" s="478"/>
      <c r="G1853" s="478"/>
      <c r="H1853" s="478"/>
      <c r="I1853" s="478"/>
      <c r="J1853" s="478"/>
      <c r="K1853" s="478"/>
      <c r="L1853" s="478"/>
      <c r="M1853" s="2553"/>
      <c r="N1853" s="2784" t="s">
        <v>2003</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2550</v>
      </c>
      <c r="C1854" s="478" t="s">
        <v>973</v>
      </c>
      <c r="D1854" s="478"/>
      <c r="E1854" s="478"/>
      <c r="F1854" s="478"/>
      <c r="G1854" s="478"/>
      <c r="H1854" s="478"/>
      <c r="I1854" s="478"/>
      <c r="J1854" s="478"/>
      <c r="K1854" s="478"/>
      <c r="L1854" s="478"/>
      <c r="M1854" s="2553"/>
      <c r="N1854" s="2784" t="s">
        <v>2550</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2000</v>
      </c>
      <c r="B1856" s="2569" t="s">
        <v>4811</v>
      </c>
      <c r="C1856" s="2354"/>
      <c r="D1856" s="2354"/>
      <c r="E1856" s="2354"/>
      <c r="F1856" s="2354"/>
      <c r="G1856" s="2354"/>
      <c r="H1856" s="2796" t="s">
        <v>3412</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3632</v>
      </c>
      <c r="C1857" s="2354"/>
      <c r="D1857" s="2354"/>
      <c r="E1857" s="2354"/>
      <c r="F1857" s="2354"/>
      <c r="G1857" s="2354"/>
      <c r="H1857" s="2796"/>
      <c r="I1857" s="2354"/>
      <c r="J1857" s="2354"/>
      <c r="K1857" s="2354"/>
      <c r="L1857" s="2354"/>
      <c r="M1857" s="2553">
        <v>3</v>
      </c>
      <c r="N1857" s="2702" t="s">
        <v>2000</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2001</v>
      </c>
      <c r="C1858" s="2658" t="s">
        <v>4812</v>
      </c>
      <c r="D1858" s="2354"/>
      <c r="E1858" s="2354"/>
      <c r="F1858" s="2354"/>
      <c r="G1858" s="2354"/>
      <c r="H1858" s="2354"/>
      <c r="I1858" s="2354"/>
      <c r="J1858" s="2354"/>
      <c r="K1858" s="2354"/>
      <c r="L1858" s="2710" t="str">
        <f>IF(OR($O1858=$M1858,$O1858=0,$O1858=""),"","* * Check Score! * *")</f>
        <v/>
      </c>
      <c r="M1858" s="2553">
        <v>3</v>
      </c>
      <c r="N1858" s="2816" t="s">
        <v>2001</v>
      </c>
      <c r="O1858" s="2746">
        <f>'Part IX A-Scoring Criteria'!O304</f>
        <v>0</v>
      </c>
      <c r="P1858" s="2746">
        <f>'Part IX A-Scoring Criteria'!P304</f>
        <v>0</v>
      </c>
      <c r="Q1858" s="2786" t="str">
        <f>IF(OR($O1858=$M1858,$O1858=0,$O1858=""),"","*CHECK!*")</f>
        <v/>
      </c>
      <c r="R1858" s="2830" t="s">
        <v>2723</v>
      </c>
      <c r="S1858" s="2354"/>
      <c r="T1858" s="2354"/>
      <c r="U1858" s="2354"/>
      <c r="V1858" s="2354"/>
      <c r="W1858" s="2354"/>
      <c r="X1858" s="2354"/>
      <c r="Y1858" s="2354"/>
      <c r="Z1858" s="2354"/>
    </row>
    <row r="1859" spans="1:26">
      <c r="A1859" s="2667" t="s">
        <v>1365</v>
      </c>
      <c r="B1859" s="2823" t="s">
        <v>2003</v>
      </c>
      <c r="C1859" s="2718" t="s">
        <v>4813</v>
      </c>
      <c r="D1859" s="2354"/>
      <c r="E1859" s="2354"/>
      <c r="F1859" s="2354"/>
      <c r="G1859" s="2597"/>
      <c r="H1859" s="2796"/>
      <c r="I1859" s="2597"/>
      <c r="L1859" s="2710" t="str">
        <f>IF(OR($O1859=$M1859,$O1859=0,$O1859=""),"","* * Check Score! * *")</f>
        <v/>
      </c>
      <c r="M1859" s="2549">
        <v>2</v>
      </c>
      <c r="N1859" s="2816" t="s">
        <v>2003</v>
      </c>
      <c r="O1859" s="2746">
        <f>'Part IX A-Scoring Criteria'!O305</f>
        <v>0</v>
      </c>
      <c r="P1859" s="2746">
        <f>'Part IX A-Scoring Criteria'!P305</f>
        <v>0</v>
      </c>
      <c r="Q1859" s="2786" t="str">
        <f>IF(OR($O1859=$M1859,$O1859=0,$O1859=""),"","*CHECK!*")</f>
        <v/>
      </c>
      <c r="R1859" s="2830" t="s">
        <v>2723</v>
      </c>
    </row>
    <row r="1860" spans="1:26">
      <c r="A1860" s="2561" t="s">
        <v>757</v>
      </c>
      <c r="B1860" s="2569" t="s">
        <v>4814</v>
      </c>
      <c r="C1860" s="2354"/>
      <c r="D1860" s="2354"/>
      <c r="E1860" s="2354"/>
      <c r="F1860" s="2354"/>
      <c r="G1860" s="2354"/>
      <c r="H1860" s="2796" t="s">
        <v>4090</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3635</v>
      </c>
      <c r="C1861" s="2354"/>
      <c r="D1861" s="2354"/>
      <c r="E1861" s="2354"/>
      <c r="F1861" s="2354"/>
      <c r="G1861" s="2354"/>
      <c r="H1861" s="2796"/>
      <c r="I1861" s="2354"/>
      <c r="J1861" s="2354"/>
      <c r="K1861" s="2354"/>
      <c r="L1861" s="2354"/>
      <c r="M1861" s="2553">
        <v>4</v>
      </c>
      <c r="N1861" s="2702" t="s">
        <v>757</v>
      </c>
      <c r="O1861" s="2746">
        <f>'Part IX A-Scoring Criteria'!O307</f>
        <v>3</v>
      </c>
      <c r="P1861" s="2746">
        <f>'Part IX A-Scoring Criteria'!P307</f>
        <v>0</v>
      </c>
      <c r="Q1861" s="2354"/>
      <c r="R1861" s="2354"/>
      <c r="S1861" s="2354"/>
      <c r="T1861" s="2354"/>
      <c r="U1861" s="2354"/>
      <c r="V1861" s="2354"/>
      <c r="W1861" s="2354"/>
      <c r="X1861" s="2354"/>
      <c r="Y1861" s="2354"/>
      <c r="Z1861" s="2354"/>
    </row>
    <row r="1862" spans="1:26">
      <c r="A1862" s="2354"/>
      <c r="B1862" s="2818" t="s">
        <v>2001</v>
      </c>
      <c r="C1862" s="1156" t="s">
        <v>3634</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2001</v>
      </c>
      <c r="O1862" s="2746">
        <f>'Part IX A-Scoring Criteria'!O308</f>
        <v>0</v>
      </c>
      <c r="P1862" s="2746">
        <f>'Part IX A-Scoring Criteria'!P308</f>
        <v>0</v>
      </c>
      <c r="Q1862" s="2786" t="str">
        <f>IF(OR($O1862=$M1862,$O1862=0,$O1862=""),"","*CHECK!*")</f>
        <v/>
      </c>
      <c r="R1862" s="2830" t="s">
        <v>2723</v>
      </c>
      <c r="S1862" s="2354"/>
      <c r="T1862" s="2354"/>
      <c r="U1862" s="2354"/>
      <c r="V1862" s="2354"/>
      <c r="W1862" s="2354"/>
      <c r="X1862" s="2354"/>
      <c r="Y1862" s="2354"/>
      <c r="Z1862" s="2354"/>
    </row>
    <row r="1863" spans="1:26">
      <c r="A1863" s="2667" t="s">
        <v>1365</v>
      </c>
      <c r="B1863" s="2823" t="s">
        <v>2003</v>
      </c>
      <c r="C1863" s="2658" t="s">
        <v>4815</v>
      </c>
      <c r="D1863" s="2354"/>
      <c r="E1863" s="2354"/>
      <c r="F1863" s="2354"/>
      <c r="G1863" s="2597"/>
      <c r="H1863" s="2598"/>
      <c r="I1863" s="2597"/>
      <c r="K1863" s="2566"/>
      <c r="L1863" s="2566"/>
      <c r="M1863" s="2549">
        <v>3</v>
      </c>
      <c r="N1863" s="2816" t="s">
        <v>2003</v>
      </c>
      <c r="O1863" s="2746">
        <f>'Part IX A-Scoring Criteria'!O309</f>
        <v>3</v>
      </c>
      <c r="P1863" s="2746">
        <f>'Part IX A-Scoring Criteria'!P309</f>
        <v>0</v>
      </c>
      <c r="Q1863" s="2786" t="str">
        <f>IF(OR($O1863=$M1863,$O1863=0,$O1863=""),"","*CHECK!*")</f>
        <v/>
      </c>
      <c r="R1863" s="2830" t="s">
        <v>2723</v>
      </c>
    </row>
    <row r="1864" spans="1:26">
      <c r="A1864" s="2667" t="s">
        <v>1365</v>
      </c>
      <c r="B1864" s="2823" t="s">
        <v>2550</v>
      </c>
      <c r="C1864" s="2718" t="s">
        <v>4816</v>
      </c>
      <c r="D1864" s="2354"/>
      <c r="E1864" s="2354"/>
      <c r="F1864" s="2354"/>
      <c r="G1864" s="2597"/>
      <c r="H1864" s="2796"/>
      <c r="I1864" s="2597"/>
      <c r="K1864" s="2566"/>
      <c r="L1864" s="2566"/>
      <c r="M1864" s="2549">
        <v>2</v>
      </c>
      <c r="N1864" s="2816" t="s">
        <v>2550</v>
      </c>
      <c r="O1864" s="2746">
        <f>'Part IX A-Scoring Criteria'!O310</f>
        <v>0</v>
      </c>
      <c r="P1864" s="2746">
        <f>'Part IX A-Scoring Criteria'!P310</f>
        <v>0</v>
      </c>
      <c r="Q1864" s="2786" t="str">
        <f>IF(OR($O1864=$M1864,$O1864=0,$O1864=""),"","*CHECK!*")</f>
        <v/>
      </c>
      <c r="R1864" s="2830" t="s">
        <v>2723</v>
      </c>
    </row>
    <row r="1865" spans="1:26" ht="15">
      <c r="A1865" s="2354"/>
      <c r="B1865" s="2766" t="s">
        <v>3780</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258.75">
      <c r="A1866" s="2661" t="str">
        <f>'Part IX A-Scoring Criteria'!A312</f>
        <v>The applicant is in the rural pool and there has not been a DCA awarded project within the City of Moultrie in the last Six (6) DCA funding cycles. The last awarded deal in the City of Moultrie was in 2008.</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1879</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2844</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1998</v>
      </c>
      <c r="B1871" s="2569" t="s">
        <v>2248</v>
      </c>
      <c r="C1871" s="2765"/>
      <c r="D1871" s="2796"/>
      <c r="E1871" s="2796"/>
      <c r="F1871" s="2743"/>
      <c r="H1871" s="2765"/>
      <c r="I1871" s="2765"/>
      <c r="J1871" s="2765"/>
      <c r="K1871" s="2765"/>
      <c r="L1871" s="2710" t="str">
        <f>IF(OR($O1871=$M1871,$O1871=0,$O1871=""),"","* * Check Score! * *")</f>
        <v/>
      </c>
      <c r="M1871" s="2553">
        <v>1</v>
      </c>
      <c r="N1871" s="2702" t="s">
        <v>1998</v>
      </c>
      <c r="O1871" s="2746">
        <f>'Part IX A-Scoring Criteria'!O317</f>
        <v>1</v>
      </c>
      <c r="P1871" s="2746">
        <f>'Part IX A-Scoring Criteria'!P317</f>
        <v>0</v>
      </c>
      <c r="Q1871" s="2786" t="str">
        <f>IF(OR($O1871=$M1871,$O1871=0,$O1871=""),"","*CHECK!*")</f>
        <v/>
      </c>
      <c r="R1871" s="2830" t="s">
        <v>2723</v>
      </c>
      <c r="S1871" s="2765"/>
      <c r="T1871" s="2814"/>
      <c r="U1871" s="2814"/>
      <c r="V1871" s="2765"/>
      <c r="W1871" s="2765"/>
      <c r="X1871" s="2765"/>
      <c r="Y1871" s="2765"/>
      <c r="Z1871" s="2765"/>
    </row>
    <row r="1872" spans="1:26" ht="18.75">
      <c r="A1872" s="2580"/>
      <c r="B1872" s="2597" t="s">
        <v>2707</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2000</v>
      </c>
      <c r="B1873" s="2569" t="s">
        <v>2249</v>
      </c>
      <c r="C1873" s="2747"/>
      <c r="D1873" s="478"/>
      <c r="E1873" s="2747"/>
      <c r="F1873" s="2747"/>
      <c r="G1873" s="2747"/>
      <c r="H1873" s="2747"/>
      <c r="I1873" s="2747"/>
      <c r="J1873" s="2747"/>
      <c r="K1873" s="478"/>
      <c r="L1873" s="2710" t="str">
        <f>IF(OR($O1873=$M1873,$O1873=0,$O1873=""),"","* * Check Score! * *")</f>
        <v/>
      </c>
      <c r="M1873" s="2553">
        <v>1</v>
      </c>
      <c r="N1873" s="2702" t="s">
        <v>2000</v>
      </c>
      <c r="O1873" s="2746">
        <f>'Part IX A-Scoring Criteria'!O319</f>
        <v>0</v>
      </c>
      <c r="P1873" s="2746">
        <f>'Part IX A-Scoring Criteria'!P319</f>
        <v>0</v>
      </c>
      <c r="Q1873" s="2786" t="str">
        <f>IF(OR($O1873=$M1873,$O1873=0,$O1873=""),"","*CHECK!*")</f>
        <v/>
      </c>
      <c r="R1873" s="2830" t="s">
        <v>2723</v>
      </c>
      <c r="S1873" s="2747"/>
      <c r="T1873" s="2814"/>
      <c r="U1873" s="2814"/>
      <c r="V1873" s="2747"/>
      <c r="W1873" s="2747"/>
      <c r="X1873" s="2747"/>
      <c r="Y1873" s="2747"/>
      <c r="Z1873" s="2747"/>
    </row>
    <row r="1874" spans="1:26" ht="18.75">
      <c r="A1874" s="2580"/>
      <c r="B1874" s="2597" t="s">
        <v>4091</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1879</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2799</v>
      </c>
      <c r="B1878" s="2749" t="s">
        <v>4092</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2000</v>
      </c>
      <c r="B1879" s="2569" t="s">
        <v>4093</v>
      </c>
      <c r="C1879" s="2619"/>
      <c r="D1879" s="2724"/>
      <c r="E1879" s="478"/>
      <c r="F1879" s="2747"/>
      <c r="G1879" s="2606">
        <f>'Part IX A-Scoring Criteria'!G325</f>
        <v>0</v>
      </c>
      <c r="H1879" s="2747"/>
      <c r="I1879" s="2747"/>
      <c r="J1879" s="2597" t="s">
        <v>2702</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2001</v>
      </c>
      <c r="C1880" s="478" t="s">
        <v>3481</v>
      </c>
      <c r="D1880" s="2354"/>
      <c r="E1880" s="2765"/>
      <c r="F1880" s="2765"/>
      <c r="G1880" s="2765"/>
      <c r="H1880" s="2765"/>
      <c r="I1880" s="2765"/>
      <c r="J1880" s="2765"/>
      <c r="K1880" s="2765"/>
      <c r="L1880" s="2765"/>
      <c r="M1880" s="2765"/>
      <c r="N1880" s="2816" t="s">
        <v>2001</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2003</v>
      </c>
      <c r="C1881" s="478" t="s">
        <v>4112</v>
      </c>
      <c r="D1881" s="2354"/>
      <c r="E1881" s="2765"/>
      <c r="F1881" s="2765"/>
      <c r="G1881" s="2765"/>
      <c r="H1881" s="2765"/>
      <c r="I1881" s="2765"/>
      <c r="J1881" s="2765"/>
      <c r="K1881" s="2765"/>
      <c r="L1881" s="2765"/>
      <c r="M1881" s="2765"/>
      <c r="N1881" s="2816" t="s">
        <v>2003</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2550</v>
      </c>
      <c r="C1882" s="478" t="s">
        <v>4111</v>
      </c>
      <c r="D1882" s="2354"/>
      <c r="E1882" s="2765"/>
      <c r="F1882" s="2765"/>
      <c r="G1882" s="2765"/>
      <c r="H1882" s="2765"/>
      <c r="I1882" s="2765"/>
      <c r="J1882" s="2765"/>
      <c r="K1882" s="2765"/>
      <c r="L1882" s="2765"/>
      <c r="M1882" s="2765"/>
      <c r="N1882" s="2816" t="s">
        <v>2550</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4113</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1998</v>
      </c>
      <c r="B1884" s="2569" t="s">
        <v>4094</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2001</v>
      </c>
      <c r="C1885" s="478" t="s">
        <v>3481</v>
      </c>
      <c r="D1885" s="478"/>
      <c r="E1885" s="478"/>
      <c r="F1885" s="2765"/>
      <c r="G1885" s="2765"/>
      <c r="H1885" s="2765"/>
      <c r="I1885" s="2765"/>
      <c r="J1885" s="2765"/>
      <c r="K1885" s="2765"/>
      <c r="L1885" s="2765"/>
      <c r="M1885" s="2562"/>
      <c r="N1885" s="2816" t="s">
        <v>2001</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2003</v>
      </c>
      <c r="C1886" s="478" t="s">
        <v>4125</v>
      </c>
      <c r="D1886" s="2354"/>
      <c r="E1886" s="2765"/>
      <c r="F1886" s="2765"/>
      <c r="G1886" s="2765"/>
      <c r="H1886" s="2765"/>
      <c r="I1886" s="2765"/>
      <c r="J1886" s="2765"/>
      <c r="K1886" s="2765"/>
      <c r="L1886" s="2765"/>
      <c r="M1886" s="2765"/>
      <c r="N1886" s="2816" t="s">
        <v>2003</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2550</v>
      </c>
      <c r="C1887" s="478" t="s">
        <v>4113</v>
      </c>
      <c r="D1887" s="2354"/>
      <c r="E1887" s="2765"/>
      <c r="F1887" s="2765"/>
      <c r="G1887" s="2765"/>
      <c r="H1887" s="2765"/>
      <c r="I1887" s="2765"/>
      <c r="J1887" s="2765"/>
      <c r="K1887" s="2765"/>
      <c r="L1887" s="2765"/>
      <c r="M1887" s="2765"/>
      <c r="N1887" s="2816" t="s">
        <v>2550</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1879</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2266</v>
      </c>
      <c r="B1891" s="2749" t="s">
        <v>4095</v>
      </c>
      <c r="C1891" s="2807"/>
      <c r="D1891" s="2807"/>
      <c r="E1891" s="2807"/>
      <c r="F1891" s="2807"/>
      <c r="G1891" s="2807"/>
      <c r="H1891" s="478" t="s">
        <v>3600</v>
      </c>
      <c r="I1891" s="2694" t="str">
        <f>'Part I-Project Information'!$H$100</f>
        <v>Rural</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2723</v>
      </c>
      <c r="S1891" s="2807"/>
      <c r="T1891" s="2807"/>
      <c r="U1891" s="2807"/>
      <c r="V1891" s="2807"/>
      <c r="W1891" s="2807"/>
      <c r="X1891" s="2807"/>
      <c r="Y1891" s="2807"/>
      <c r="Z1891" s="2807"/>
    </row>
    <row r="1892" spans="1:26" ht="15" customHeight="1">
      <c r="A1892" s="2661" t="s">
        <v>4817</v>
      </c>
      <c r="B1892" s="2661"/>
      <c r="C1892" s="2661"/>
      <c r="D1892" s="2661"/>
      <c r="E1892" s="2661"/>
      <c r="F1892" s="2661"/>
      <c r="G1892" s="2661"/>
      <c r="H1892" s="2661"/>
      <c r="I1892" s="2686" t="s">
        <v>4194</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Sparrow Pointe at Forest Hill</v>
      </c>
      <c r="J1893" s="478">
        <f>'Part IX A-Scoring Criteria'!J339</f>
        <v>0</v>
      </c>
      <c r="K1893" s="478">
        <f>'Part IX A-Scoring Criteria'!K339</f>
        <v>0</v>
      </c>
      <c r="L1893" s="478" t="str">
        <f>'Part IX A-Scoring Criteria'!L339</f>
        <v>N/A</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t="str">
        <f>'Part IX A-Scoring Criteria'!I340</f>
        <v>N/A</v>
      </c>
      <c r="J1894" s="478">
        <f>'Part IX A-Scoring Criteria'!J340</f>
        <v>0</v>
      </c>
      <c r="K1894" s="478">
        <f>'Part IX A-Scoring Criteria'!K340</f>
        <v>0</v>
      </c>
      <c r="L1894" s="478" t="str">
        <f>'Part IX A-Scoring Criteria'!L340</f>
        <v>N/A</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3780</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225">
      <c r="A1896" s="2661" t="str">
        <f>'Part IX A-Scoring Criteria'!A342</f>
        <v>The Applicant will be claiming the Priorty point for this application, Sparrow Pointe at Forest Hill. This is the only application the proposed Project Team has a direct or indirect interest.</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1879</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4149</v>
      </c>
      <c r="B1900" s="2749" t="s">
        <v>1685</v>
      </c>
      <c r="C1900" s="2747"/>
      <c r="D1900" s="2619"/>
      <c r="E1900" s="2619"/>
      <c r="F1900" s="2747"/>
      <c r="G1900" s="478"/>
      <c r="H1900" s="478"/>
      <c r="I1900" s="478"/>
      <c r="J1900" s="2747"/>
      <c r="K1900" s="2659"/>
      <c r="L1900" s="2710"/>
      <c r="M1900" s="2562">
        <v>2</v>
      </c>
      <c r="N1900" s="2808"/>
      <c r="O1900" s="2746">
        <f>'Part IX A-Scoring Criteria'!O346</f>
        <v>1</v>
      </c>
      <c r="P1900" s="2746">
        <f>'Part IX A-Scoring Criteria'!P346</f>
        <v>0</v>
      </c>
      <c r="Q1900" s="2562" t="s">
        <v>443</v>
      </c>
      <c r="R1900" s="2747"/>
      <c r="S1900" s="2747"/>
      <c r="T1900" s="2747"/>
      <c r="U1900" s="2747"/>
      <c r="V1900" s="2747"/>
      <c r="W1900" s="2747"/>
      <c r="X1900" s="2747"/>
      <c r="Y1900" s="2747"/>
      <c r="Z1900" s="2747"/>
    </row>
    <row r="1901" spans="1:26" ht="15.75">
      <c r="A1901" s="2580" t="s">
        <v>1998</v>
      </c>
      <c r="B1901" s="2694" t="s">
        <v>3639</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2723</v>
      </c>
      <c r="S1901" s="2747"/>
      <c r="T1901" s="2747"/>
      <c r="U1901" s="2747"/>
      <c r="V1901" s="2747"/>
      <c r="W1901" s="2747"/>
      <c r="X1901" s="2747"/>
      <c r="Y1901" s="2747"/>
      <c r="Z1901" s="2747"/>
    </row>
    <row r="1902" spans="1:26" ht="15">
      <c r="A1902" s="2747"/>
      <c r="B1902" s="2597" t="s">
        <v>4099</v>
      </c>
      <c r="C1902" s="2747"/>
      <c r="D1902" s="2765"/>
      <c r="E1902" s="2619"/>
      <c r="F1902" s="478"/>
      <c r="G1902" s="478"/>
      <c r="H1902" s="478" t="str">
        <f>'Part IX A-Scoring Criteria'!H348</f>
        <v>Moultrie</v>
      </c>
      <c r="I1902" s="478">
        <f>'Part IX A-Scoring Criteria'!I348</f>
        <v>0</v>
      </c>
      <c r="J1902" s="478">
        <f>'Part IX A-Scoring Criteria'!J348</f>
        <v>0</v>
      </c>
      <c r="K1902" s="2747"/>
      <c r="L1902" s="2747"/>
      <c r="M1902" s="2747"/>
      <c r="N1902" s="2702" t="s">
        <v>1998</v>
      </c>
      <c r="O1902" s="2711" t="s">
        <v>2526</v>
      </c>
      <c r="P1902" s="2711" t="s">
        <v>2526</v>
      </c>
      <c r="Q1902" s="2747"/>
      <c r="R1902" s="2747"/>
      <c r="S1902" s="2747"/>
      <c r="T1902" s="2747"/>
      <c r="U1902" s="2747"/>
      <c r="V1902" s="2747"/>
      <c r="W1902" s="2747"/>
      <c r="X1902" s="2747"/>
      <c r="Y1902" s="2747"/>
      <c r="Z1902" s="2747"/>
    </row>
    <row r="1903" spans="1:26">
      <c r="A1903" s="478"/>
      <c r="B1903" s="2816" t="s">
        <v>2001</v>
      </c>
      <c r="C1903" s="2597" t="s">
        <v>4096</v>
      </c>
      <c r="D1903" s="478"/>
      <c r="E1903" s="478"/>
      <c r="F1903" s="478"/>
      <c r="G1903" s="478"/>
      <c r="H1903" s="478"/>
      <c r="I1903" s="478"/>
      <c r="J1903" s="478"/>
      <c r="K1903" s="478"/>
      <c r="L1903" s="478"/>
      <c r="M1903" s="478"/>
      <c r="N1903" s="2816" t="s">
        <v>2001</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2003</v>
      </c>
      <c r="C1904" s="2597" t="s">
        <v>4097</v>
      </c>
      <c r="D1904" s="478"/>
      <c r="E1904" s="478"/>
      <c r="F1904" s="478"/>
      <c r="G1904" s="478"/>
      <c r="H1904" s="478"/>
      <c r="I1904" s="478"/>
      <c r="J1904" s="478"/>
      <c r="K1904" s="478"/>
      <c r="L1904" s="478"/>
      <c r="M1904" s="478"/>
      <c r="N1904" s="2816" t="s">
        <v>2003</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2550</v>
      </c>
      <c r="C1905" s="2597" t="s">
        <v>4098</v>
      </c>
      <c r="D1905" s="478"/>
      <c r="E1905" s="478"/>
      <c r="F1905" s="478"/>
      <c r="G1905" s="478"/>
      <c r="H1905" s="478"/>
      <c r="I1905" s="478"/>
      <c r="J1905" s="478"/>
      <c r="K1905" s="478"/>
      <c r="L1905" s="478"/>
      <c r="M1905" s="478"/>
      <c r="N1905" s="2816" t="s">
        <v>2550</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3640</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2000</v>
      </c>
      <c r="B1908" s="2569" t="s">
        <v>2814</v>
      </c>
      <c r="D1908" s="2354"/>
      <c r="H1908" s="2875" t="s">
        <v>3508</v>
      </c>
      <c r="I1908" s="2875"/>
      <c r="J1908" s="2875"/>
      <c r="K1908" s="2875"/>
      <c r="L1908" s="2875"/>
      <c r="M1908" s="2556">
        <v>1</v>
      </c>
      <c r="N1908" s="2702" t="s">
        <v>2000</v>
      </c>
      <c r="O1908" s="2746">
        <f>'Part IX A-Scoring Criteria'!O354</f>
        <v>0</v>
      </c>
      <c r="P1908" s="2746">
        <f>'Part IX A-Scoring Criteria'!P354</f>
        <v>0</v>
      </c>
      <c r="Q1908" s="2786" t="str">
        <f>IF(OR($O1908=$M1908,$O1908=0,$O1908=""),"","*CHECK!*")</f>
        <v/>
      </c>
      <c r="R1908" s="2830" t="s">
        <v>2723</v>
      </c>
    </row>
    <row r="1909" spans="1:26">
      <c r="A1909" s="2354"/>
      <c r="B1909" s="478" t="s">
        <v>2815</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3642</v>
      </c>
      <c r="C1910" s="478" t="str">
        <f>'Part I-Project Information'!$F$38</f>
        <v>Moultrie</v>
      </c>
      <c r="D1910" s="2354"/>
      <c r="E1910" s="478" t="s">
        <v>3507</v>
      </c>
      <c r="F1910" s="478" t="str">
        <f>'Part I-Project Information'!$J$39</f>
        <v>Colquitt</v>
      </c>
      <c r="G1910" s="2354"/>
      <c r="H1910" s="2597" t="s">
        <v>455</v>
      </c>
      <c r="I1910" s="2597" t="str">
        <f>'Part I-Project Information'!$N$39</f>
        <v>Yes</v>
      </c>
      <c r="J1910" s="2354"/>
      <c r="K1910" s="2597" t="s">
        <v>3641</v>
      </c>
      <c r="L1910" s="2845" t="str">
        <f>'Part I-Project Information'!$O$38</f>
        <v>13071970702</v>
      </c>
      <c r="M1910" s="2845"/>
      <c r="N1910" s="2845"/>
      <c r="O1910" s="2845"/>
      <c r="P1910" s="2845"/>
      <c r="Q1910" s="2354"/>
      <c r="R1910" s="2354"/>
      <c r="S1910" s="2354"/>
      <c r="T1910" s="2354"/>
      <c r="U1910" s="2354"/>
      <c r="V1910" s="2354"/>
      <c r="W1910" s="2354"/>
      <c r="X1910" s="2354"/>
      <c r="Y1910" s="2354"/>
      <c r="Z1910" s="2354"/>
    </row>
    <row r="1911" spans="1:26" ht="15">
      <c r="A1911" s="2354"/>
      <c r="B1911" s="2766" t="s">
        <v>3780</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409.5">
      <c r="A1912" s="2661" t="str">
        <f>'Part IX A-Scoring Criteria'!A358</f>
        <v>Please see Tab 35 of the application for the required GICH documentation. The proposed project has obtained the only letter issued by the GICH community, which identifies the boundaries and the proposed projects existence within the GICH community and is executed by the appropriate primary contact and the local government agreement letter from the Mayor related to the issuance of the letter.</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1879</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4150</v>
      </c>
      <c r="B1916" s="2749" t="s">
        <v>4102</v>
      </c>
      <c r="C1916" s="2747"/>
      <c r="D1916" s="2619"/>
      <c r="E1916" s="2619"/>
      <c r="F1916" s="478"/>
      <c r="G1916" s="478"/>
      <c r="H1916" s="2569" t="s">
        <v>2811</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2900</v>
      </c>
      <c r="C1917" s="2747"/>
      <c r="D1917" s="2747"/>
      <c r="E1917" s="2619"/>
      <c r="F1917" s="478"/>
      <c r="G1917" s="478"/>
      <c r="H1917" s="478"/>
      <c r="I1917" s="478"/>
      <c r="J1917" s="2747"/>
      <c r="K1917" s="2659"/>
      <c r="L1917" s="2876"/>
      <c r="M1917" s="2747"/>
      <c r="N1917" s="2747"/>
      <c r="O1917" s="2659" t="s">
        <v>2526</v>
      </c>
      <c r="P1917" s="2659" t="s">
        <v>2526</v>
      </c>
      <c r="Q1917" s="2747"/>
      <c r="R1917" s="2747"/>
      <c r="S1917" s="2747"/>
      <c r="T1917" s="2747"/>
      <c r="U1917" s="2747"/>
      <c r="V1917" s="2747"/>
      <c r="W1917" s="2747"/>
      <c r="X1917" s="2747"/>
      <c r="Y1917" s="2747"/>
      <c r="Z1917" s="2747"/>
    </row>
    <row r="1918" spans="1:26" ht="15">
      <c r="A1918" s="1156"/>
      <c r="B1918" s="2702" t="s">
        <v>2450</v>
      </c>
      <c r="C1918" s="1156" t="s">
        <v>2845</v>
      </c>
      <c r="D1918" s="1156"/>
      <c r="E1918" s="2619"/>
      <c r="F1918" s="478"/>
      <c r="G1918" s="478"/>
      <c r="H1918" s="478"/>
      <c r="I1918" s="478"/>
      <c r="J1918" s="2747"/>
      <c r="K1918" s="2659"/>
      <c r="L1918" s="2736" t="str">
        <f>IF(OR(O1918="No",O1918="",O1919="No",O1919="",O1920="No",O1920="",O1921="No",O1921=""),"Unmet criterion results in no points!","")</f>
        <v/>
      </c>
      <c r="M1918" s="2736"/>
      <c r="N1918" s="2702" t="s">
        <v>2450</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2451</v>
      </c>
      <c r="C1919" s="1156" t="s">
        <v>3837</v>
      </c>
      <c r="D1919" s="1156"/>
      <c r="E1919" s="1156"/>
      <c r="F1919" s="1156"/>
      <c r="G1919" s="1156"/>
      <c r="H1919" s="1156"/>
      <c r="I1919" s="1156"/>
      <c r="J1919" s="1156"/>
      <c r="K1919" s="1156"/>
      <c r="L1919" s="2736"/>
      <c r="M1919" s="2736"/>
      <c r="N1919" s="2712" t="s">
        <v>2451</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2452</v>
      </c>
      <c r="C1920" s="1156" t="s">
        <v>3836</v>
      </c>
      <c r="D1920" s="1156"/>
      <c r="E1920" s="1156"/>
      <c r="F1920" s="1156"/>
      <c r="G1920" s="1156"/>
      <c r="H1920" s="1156"/>
      <c r="I1920" s="1156"/>
      <c r="J1920" s="1156"/>
      <c r="K1920" s="1156"/>
      <c r="L1920" s="2736"/>
      <c r="M1920" s="2736"/>
      <c r="N1920" s="2702" t="s">
        <v>2452</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2453</v>
      </c>
      <c r="C1921" s="2626" t="s">
        <v>4103</v>
      </c>
      <c r="D1921" s="2626"/>
      <c r="E1921" s="2626"/>
      <c r="F1921" s="2626"/>
      <c r="G1921" s="2626"/>
      <c r="H1921" s="2626"/>
      <c r="I1921" s="2626"/>
      <c r="J1921" s="2626"/>
      <c r="K1921" s="2626"/>
      <c r="L1921" s="2626"/>
      <c r="M1921" s="2626"/>
      <c r="N1921" s="2712" t="s">
        <v>2453</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1998</v>
      </c>
      <c r="B1923" s="2569" t="s">
        <v>4104</v>
      </c>
      <c r="L1923" s="2710" t="str">
        <f>IF(OR($O1923=$M1923,$O1923=0,$O1923=""),"","* * Check Score! * *")</f>
        <v/>
      </c>
      <c r="M1923" s="2556">
        <v>3</v>
      </c>
      <c r="N1923" s="2702" t="s">
        <v>1998</v>
      </c>
      <c r="O1923" s="2746">
        <f>'Part IX A-Scoring Criteria'!O369</f>
        <v>0</v>
      </c>
      <c r="P1923" s="2746">
        <f>'Part IX A-Scoring Criteria'!P369</f>
        <v>0</v>
      </c>
      <c r="Q1923" s="2786" t="str">
        <f>IF(OR($O1923=$M1923,$O1923=0,$O1923=""),"","*CHECK!*")</f>
        <v/>
      </c>
      <c r="R1923" s="2830" t="s">
        <v>2723</v>
      </c>
    </row>
    <row r="1924" spans="1:26" ht="12.75" customHeight="1">
      <c r="A1924" s="2877"/>
      <c r="B1924" s="2799" t="s">
        <v>2001</v>
      </c>
      <c r="C1924" s="2661" t="s">
        <v>4105</v>
      </c>
      <c r="D1924" s="2661"/>
      <c r="E1924" s="2661"/>
      <c r="F1924" s="2661"/>
      <c r="G1924" s="2661"/>
      <c r="H1924" s="2661"/>
      <c r="I1924" s="2661"/>
      <c r="J1924" s="2810" t="s">
        <v>2005</v>
      </c>
      <c r="K1924" s="2810"/>
      <c r="M1924" s="2810" t="s">
        <v>2005</v>
      </c>
      <c r="N1924" s="2810"/>
      <c r="O1924" s="2810"/>
      <c r="P1924" s="2810"/>
    </row>
    <row r="1925" spans="1:26" ht="15">
      <c r="A1925" s="2709"/>
      <c r="B1925" s="2702" t="s">
        <v>2450</v>
      </c>
      <c r="C1925" s="478" t="s">
        <v>1494</v>
      </c>
      <c r="D1925" s="2747"/>
      <c r="E1925" s="2747"/>
      <c r="F1925" s="2747"/>
      <c r="G1925" s="2747"/>
      <c r="H1925" s="2747"/>
      <c r="I1925" s="2702" t="s">
        <v>2450</v>
      </c>
      <c r="J1925" s="2614">
        <f>'Part IX A-Scoring Criteria'!J371</f>
        <v>0</v>
      </c>
      <c r="K1925" s="2614">
        <f>'Part IX A-Scoring Criteria'!K371</f>
        <v>0</v>
      </c>
      <c r="L1925" s="2702" t="s">
        <v>2450</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2451</v>
      </c>
      <c r="C1926" s="478" t="s">
        <v>3646</v>
      </c>
      <c r="I1926" s="2712" t="s">
        <v>2451</v>
      </c>
      <c r="J1926" s="2614">
        <f>'Part IX A-Scoring Criteria'!J372</f>
        <v>0</v>
      </c>
      <c r="K1926" s="2614">
        <f>'Part IX A-Scoring Criteria'!K372</f>
        <v>0</v>
      </c>
      <c r="L1926" s="2712" t="s">
        <v>2451</v>
      </c>
      <c r="M1926" s="2614">
        <f>'Part IX A-Scoring Criteria'!M372</f>
        <v>0</v>
      </c>
      <c r="N1926" s="2614">
        <f>'Part IX A-Scoring Criteria'!N372</f>
        <v>0</v>
      </c>
      <c r="O1926" s="2614">
        <f>'Part IX A-Scoring Criteria'!O372</f>
        <v>0</v>
      </c>
      <c r="P1926" s="2614">
        <f>'Part IX A-Scoring Criteria'!P372</f>
        <v>0</v>
      </c>
      <c r="R1926" s="2710"/>
    </row>
    <row r="1927" spans="1:26">
      <c r="B1927" s="2702" t="s">
        <v>2452</v>
      </c>
      <c r="C1927" s="478" t="s">
        <v>2642</v>
      </c>
      <c r="I1927" s="2702" t="s">
        <v>2452</v>
      </c>
      <c r="J1927" s="2614">
        <f>'Part IX A-Scoring Criteria'!J373</f>
        <v>0</v>
      </c>
      <c r="K1927" s="2614">
        <f>'Part IX A-Scoring Criteria'!K373</f>
        <v>0</v>
      </c>
      <c r="L1927" s="2702" t="s">
        <v>2452</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2453</v>
      </c>
      <c r="C1928" s="478" t="s">
        <v>3482</v>
      </c>
      <c r="I1928" s="2702" t="s">
        <v>2453</v>
      </c>
      <c r="J1928" s="2614">
        <f>'Part IX A-Scoring Criteria'!J374</f>
        <v>0</v>
      </c>
      <c r="K1928" s="2614">
        <f>'Part IX A-Scoring Criteria'!K374</f>
        <v>0</v>
      </c>
      <c r="L1928" s="2702" t="s">
        <v>2453</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2454</v>
      </c>
      <c r="C1929" s="478" t="s">
        <v>2748</v>
      </c>
      <c r="D1929" s="2747"/>
      <c r="E1929" s="2747"/>
      <c r="F1929" s="2747"/>
      <c r="G1929" s="2747"/>
      <c r="H1929" s="2747"/>
      <c r="I1929" s="2712" t="s">
        <v>2454</v>
      </c>
      <c r="J1929" s="2614">
        <f>'Part IX A-Scoring Criteria'!J375</f>
        <v>0</v>
      </c>
      <c r="K1929" s="2614">
        <f>'Part IX A-Scoring Criteria'!K375</f>
        <v>0</v>
      </c>
      <c r="L1929" s="2712" t="s">
        <v>2454</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2470</v>
      </c>
      <c r="C1930" s="478" t="s">
        <v>1493</v>
      </c>
      <c r="I1930" s="2702" t="s">
        <v>2470</v>
      </c>
      <c r="J1930" s="2614">
        <f>'Part IX A-Scoring Criteria'!J376</f>
        <v>0</v>
      </c>
      <c r="K1930" s="2614">
        <f>'Part IX A-Scoring Criteria'!K376</f>
        <v>0</v>
      </c>
      <c r="L1930" s="2702" t="s">
        <v>2470</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2471</v>
      </c>
      <c r="C1931" s="478" t="s">
        <v>3644</v>
      </c>
      <c r="I1931" s="2702" t="s">
        <v>2471</v>
      </c>
      <c r="J1931" s="2614">
        <f>'Part IX A-Scoring Criteria'!J377</f>
        <v>0</v>
      </c>
      <c r="K1931" s="2614">
        <f>'Part IX A-Scoring Criteria'!K377</f>
        <v>0</v>
      </c>
      <c r="L1931" s="2702" t="s">
        <v>2471</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2472</v>
      </c>
      <c r="C1932" s="478" t="s">
        <v>4550</v>
      </c>
      <c r="I1932" s="2702" t="s">
        <v>2472</v>
      </c>
      <c r="J1932" s="2614">
        <f>'Part IX A-Scoring Criteria'!J378</f>
        <v>0</v>
      </c>
      <c r="K1932" s="2614">
        <f>'Part IX A-Scoring Criteria'!K378</f>
        <v>0</v>
      </c>
      <c r="L1932" s="2702" t="s">
        <v>2472</v>
      </c>
      <c r="M1932" s="2614">
        <f>'Part IX A-Scoring Criteria'!M378</f>
        <v>0</v>
      </c>
      <c r="N1932" s="2614">
        <f>'Part IX A-Scoring Criteria'!N378</f>
        <v>0</v>
      </c>
      <c r="O1932" s="2614">
        <f>'Part IX A-Scoring Criteria'!O378</f>
        <v>0</v>
      </c>
      <c r="P1932" s="2614">
        <f>'Part IX A-Scoring Criteria'!P378</f>
        <v>0</v>
      </c>
      <c r="R1932" s="2710"/>
    </row>
    <row r="1933" spans="1:26">
      <c r="B1933" s="2702" t="s">
        <v>2473</v>
      </c>
      <c r="C1933" s="478" t="s">
        <v>3645</v>
      </c>
      <c r="I1933" s="2702" t="s">
        <v>2473</v>
      </c>
      <c r="J1933" s="2614">
        <f>'Part IX A-Scoring Criteria'!J379</f>
        <v>0</v>
      </c>
      <c r="K1933" s="2614">
        <f>'Part IX A-Scoring Criteria'!K379</f>
        <v>0</v>
      </c>
      <c r="L1933" s="2702" t="s">
        <v>2473</v>
      </c>
      <c r="M1933" s="2614">
        <f>'Part IX A-Scoring Criteria'!M379</f>
        <v>0</v>
      </c>
      <c r="N1933" s="2614">
        <f>'Part IX A-Scoring Criteria'!N379</f>
        <v>0</v>
      </c>
      <c r="O1933" s="2614">
        <f>'Part IX A-Scoring Criteria'!O379</f>
        <v>0</v>
      </c>
      <c r="P1933" s="2614">
        <f>'Part IX A-Scoring Criteria'!P379</f>
        <v>0</v>
      </c>
      <c r="R1933" s="2710"/>
    </row>
    <row r="1934" spans="1:26">
      <c r="B1934" s="2702" t="s">
        <v>3647</v>
      </c>
      <c r="C1934" s="478" t="s">
        <v>4187</v>
      </c>
      <c r="I1934" s="2702" t="s">
        <v>3647</v>
      </c>
      <c r="J1934" s="2614">
        <f>'Part IX A-Scoring Criteria'!J380</f>
        <v>0</v>
      </c>
      <c r="K1934" s="2614">
        <f>'Part IX A-Scoring Criteria'!K380</f>
        <v>0</v>
      </c>
      <c r="L1934" s="2702" t="s">
        <v>3647</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4818</v>
      </c>
      <c r="H1935" s="2694" t="s">
        <v>2644</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2003</v>
      </c>
      <c r="C1937" s="2604" t="s">
        <v>2643</v>
      </c>
      <c r="E1937" s="2597" t="s">
        <v>2645</v>
      </c>
      <c r="H1937" s="2689">
        <f>'Part IX A-Scoring Criteria'!H383</f>
        <v>0</v>
      </c>
      <c r="I1937" s="2556"/>
      <c r="J1937" s="2614">
        <f>'Part IV-A-Uses of Funds'!$G$132</f>
        <v>10134678</v>
      </c>
      <c r="K1937" s="2614"/>
      <c r="M1937" s="2347"/>
      <c r="N1937" s="2347"/>
      <c r="P1937" s="2347"/>
    </row>
    <row r="1938" spans="1:26" ht="12.75" customHeight="1">
      <c r="A1938" s="2652" t="s">
        <v>4819</v>
      </c>
      <c r="B1938" s="2652"/>
      <c r="C1938" s="2652"/>
      <c r="D1938" s="2652"/>
      <c r="E1938" s="2735" t="s">
        <v>2646</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4300</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2000</v>
      </c>
      <c r="B1941" s="2770" t="s">
        <v>3648</v>
      </c>
      <c r="C1941" s="2765"/>
      <c r="D1941" s="478"/>
      <c r="E1941" s="478"/>
      <c r="F1941" s="2562"/>
      <c r="G1941" s="2765"/>
      <c r="H1941" s="478"/>
      <c r="I1941" s="2562"/>
      <c r="J1941" s="2597"/>
      <c r="K1941" s="2597"/>
      <c r="L1941" s="2710" t="str">
        <f>IF(OR($O1941=$M1941,$O1941=0,$O1941=""),"","* * Check Score! * *")</f>
        <v/>
      </c>
      <c r="M1941" s="2556">
        <v>1</v>
      </c>
      <c r="N1941" s="2702" t="s">
        <v>2000</v>
      </c>
      <c r="O1941" s="2746">
        <f>'Part IX A-Scoring Criteria'!O387</f>
        <v>0</v>
      </c>
      <c r="P1941" s="2746">
        <f>'Part IX A-Scoring Criteria'!P387</f>
        <v>0</v>
      </c>
      <c r="Q1941" s="2562" t="s">
        <v>443</v>
      </c>
      <c r="R1941" s="2830" t="s">
        <v>2723</v>
      </c>
      <c r="S1941" s="2765"/>
      <c r="T1941" s="2765"/>
      <c r="U1941" s="2765"/>
      <c r="V1941" s="2814"/>
      <c r="W1941" s="2814"/>
      <c r="X1941" s="2765"/>
      <c r="Y1941" s="2765"/>
      <c r="Z1941" s="2765"/>
    </row>
    <row r="1942" spans="1:26" ht="18.75" customHeight="1">
      <c r="A1942" s="2580"/>
      <c r="B1942" s="2712" t="s">
        <v>2450</v>
      </c>
      <c r="C1942" s="2661" t="s">
        <v>4106</v>
      </c>
      <c r="D1942" s="2661"/>
      <c r="E1942" s="2661"/>
      <c r="F1942" s="2661"/>
      <c r="G1942" s="2661"/>
      <c r="H1942" s="2661"/>
      <c r="I1942" s="2661"/>
      <c r="J1942" s="2661"/>
      <c r="K1942" s="2661"/>
      <c r="L1942" s="2661"/>
      <c r="M1942" s="2661"/>
      <c r="N1942" s="2712" t="s">
        <v>2450</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2451</v>
      </c>
      <c r="C1943" s="478" t="s">
        <v>3829</v>
      </c>
      <c r="D1943" s="478"/>
      <c r="E1943" s="478"/>
      <c r="F1943" s="478"/>
      <c r="G1943" s="478"/>
      <c r="H1943" s="478"/>
      <c r="I1943" s="478"/>
      <c r="J1943" s="478"/>
      <c r="K1943" s="478"/>
      <c r="L1943" s="2747"/>
      <c r="M1943" s="478"/>
      <c r="N1943" s="2712" t="s">
        <v>2451</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2452</v>
      </c>
      <c r="C1944" s="1156" t="s">
        <v>4107</v>
      </c>
      <c r="N1944" s="2702" t="s">
        <v>2452</v>
      </c>
      <c r="O1944" s="2667">
        <f>'Part IX A-Scoring Criteria'!O390</f>
        <v>0</v>
      </c>
      <c r="P1944" s="2667">
        <f>'Part IX A-Scoring Criteria'!P390</f>
        <v>0</v>
      </c>
    </row>
    <row r="1945" spans="1:26">
      <c r="B1945" s="2766" t="s">
        <v>3780</v>
      </c>
      <c r="N1945" s="2549"/>
      <c r="O1945" s="2551"/>
      <c r="P1945" s="2551"/>
    </row>
    <row r="1946" spans="1:26" ht="67.5">
      <c r="A1946" s="2661" t="str">
        <f>'Part IX A-Scoring Criteria'!A392</f>
        <v>The Applicant is not claiming points under favorable financing.</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1879</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4148</v>
      </c>
      <c r="B1950" s="2747"/>
      <c r="C1950" s="2749" t="s">
        <v>2736</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1998</v>
      </c>
      <c r="B1951" s="2569" t="s">
        <v>3674</v>
      </c>
      <c r="C1951" s="2747"/>
      <c r="D1951" s="2354"/>
      <c r="E1951" s="2354"/>
      <c r="F1951" s="2354"/>
      <c r="G1951" s="2747"/>
      <c r="H1951" s="2747"/>
      <c r="I1951" s="2747"/>
      <c r="J1951" s="2597" t="s">
        <v>3840</v>
      </c>
      <c r="K1951" s="2747"/>
      <c r="L1951" s="2634">
        <f>'Part VI-Revenues &amp; Expenses'!$O$62*0.1</f>
        <v>5</v>
      </c>
      <c r="M1951" s="2553">
        <v>2</v>
      </c>
      <c r="N1951" s="2702" t="s">
        <v>1998</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2001</v>
      </c>
      <c r="C1952" s="2661" t="s">
        <v>3839</v>
      </c>
      <c r="D1952" s="2661"/>
      <c r="E1952" s="2661"/>
      <c r="F1952" s="2661"/>
      <c r="G1952" s="2661"/>
      <c r="H1952" s="2661"/>
      <c r="I1952" s="2661"/>
      <c r="J1952" s="2597" t="s">
        <v>3842</v>
      </c>
      <c r="K1952" s="2747"/>
      <c r="L1952" s="2634">
        <f>'Part VI-Revenues &amp; Expenses'!$O$58</f>
        <v>50</v>
      </c>
      <c r="M1952" s="2586" t="str">
        <f>IF(L1954&lt;L1953,"Check 1BR LI count!","")</f>
        <v/>
      </c>
      <c r="N1952" s="2773" t="s">
        <v>2001</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6</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2003</v>
      </c>
      <c r="C1955" s="2661" t="s">
        <v>3414</v>
      </c>
      <c r="D1955" s="2661"/>
      <c r="E1955" s="2661"/>
      <c r="F1955" s="2661"/>
      <c r="G1955" s="2661"/>
      <c r="H1955" s="2661"/>
      <c r="I1955" s="2661"/>
      <c r="J1955" s="2661"/>
      <c r="K1955" s="2661"/>
      <c r="L1955" s="2661"/>
      <c r="M1955" s="2661"/>
      <c r="N1955" s="2773" t="s">
        <v>2003</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2550</v>
      </c>
      <c r="C1956" s="2661" t="s">
        <v>3841</v>
      </c>
      <c r="D1956" s="2661"/>
      <c r="E1956" s="2661"/>
      <c r="F1956" s="2661"/>
      <c r="G1956" s="2661"/>
      <c r="H1956" s="2661"/>
      <c r="I1956" s="2661"/>
      <c r="J1956" s="2661"/>
      <c r="K1956" s="2661"/>
      <c r="L1956" s="2661"/>
      <c r="M1956" s="2661"/>
      <c r="N1956" s="2773" t="s">
        <v>2550</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2000</v>
      </c>
      <c r="B1959" s="2569" t="s">
        <v>2737</v>
      </c>
      <c r="C1959" s="2747"/>
      <c r="D1959" s="2597"/>
      <c r="E1959" s="2747"/>
      <c r="F1959" s="2747"/>
      <c r="G1959" s="478"/>
      <c r="H1959" s="2747"/>
      <c r="I1959" s="2747"/>
      <c r="J1959" s="2747"/>
      <c r="K1959" s="2747"/>
      <c r="L1959" s="2747"/>
      <c r="M1959" s="2553">
        <v>3</v>
      </c>
      <c r="N1959" s="2702" t="s">
        <v>2000</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2001</v>
      </c>
      <c r="C1960" s="2661" t="s">
        <v>3861</v>
      </c>
      <c r="D1960" s="2661"/>
      <c r="E1960" s="2661"/>
      <c r="F1960" s="2661"/>
      <c r="G1960" s="2661"/>
      <c r="H1960" s="2661"/>
      <c r="I1960" s="2661"/>
      <c r="J1960" s="2661"/>
      <c r="K1960" s="2661"/>
      <c r="L1960" s="2661"/>
      <c r="M1960" s="2661"/>
      <c r="N1960" s="2773" t="s">
        <v>2001</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3679</v>
      </c>
      <c r="D1961" s="2664"/>
      <c r="E1961" s="2664"/>
      <c r="F1961" s="2664"/>
      <c r="G1961" s="2432">
        <f>'Part IX A-Scoring Criteria'!G407</f>
        <v>0</v>
      </c>
      <c r="H1961" s="2432">
        <f>'Part IX A-Scoring Criteria'!H407</f>
        <v>0</v>
      </c>
      <c r="I1961" s="2432">
        <f>'Part IX A-Scoring Criteria'!I407</f>
        <v>0</v>
      </c>
      <c r="J1961" s="2882" t="s">
        <v>3680</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2003</v>
      </c>
      <c r="C1962" s="2686" t="s">
        <v>3415</v>
      </c>
      <c r="D1962" s="2686"/>
      <c r="E1962" s="2686"/>
      <c r="F1962" s="2686"/>
      <c r="G1962" s="2686"/>
      <c r="H1962" s="2686"/>
      <c r="I1962" s="2686"/>
      <c r="J1962" s="2686" t="s">
        <v>3678</v>
      </c>
      <c r="K1962" s="2686"/>
      <c r="L1962" s="2634">
        <v>0</v>
      </c>
      <c r="M1962" s="2884">
        <f>IF('Part VI-Revenues &amp; Expenses'!$O$62=0,0,L1962/'Part VI-Revenues &amp; Expenses'!$O$62)</f>
        <v>0</v>
      </c>
      <c r="N1962" s="2773" t="s">
        <v>2003</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3780</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315">
      <c r="A1964" s="2661" t="str">
        <f>'Part IX A-Scoring Criteria'!A410</f>
        <v>The Applicant agrees to accept Section 811 PBRA or other DCA-offered RA for up to 10% of the units for the purpose of providing Integrated Supportive Housing opportunities to Persons with Disabilities. The Applicant understands the requirements of the program.</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1879</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4151</v>
      </c>
      <c r="B1968" s="2749" t="s">
        <v>2738</v>
      </c>
      <c r="C1968" s="2747"/>
      <c r="D1968" s="2597"/>
      <c r="E1968" s="2747"/>
      <c r="F1968" s="2747"/>
      <c r="G1968" s="2796" t="s">
        <v>3411</v>
      </c>
      <c r="H1968" s="2747"/>
      <c r="I1968" s="2747"/>
      <c r="J1968" s="478" t="s">
        <v>3417</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3483</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2848</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1998</v>
      </c>
      <c r="B1972" s="2658" t="s">
        <v>4820</v>
      </c>
      <c r="C1972" s="2686"/>
      <c r="D1972" s="2686"/>
      <c r="E1972" s="2686"/>
      <c r="F1972" s="2686"/>
      <c r="G1972" s="2686"/>
      <c r="H1972" s="2686"/>
      <c r="I1972" s="2686"/>
      <c r="J1972" s="2798"/>
      <c r="K1972" s="2798"/>
      <c r="L1972" s="2798"/>
      <c r="M1972" s="2800">
        <v>1</v>
      </c>
      <c r="N1972" s="2712" t="s">
        <v>1998</v>
      </c>
      <c r="O1972" s="2746">
        <f>'Part IX A-Scoring Criteria'!O418</f>
        <v>0</v>
      </c>
      <c r="P1972" s="2746">
        <f>'Part IX A-Scoring Criteria'!P418</f>
        <v>0</v>
      </c>
      <c r="Q1972" s="2786" t="str">
        <f>IF(OR($O1972=$M1972,$O1972=0,$O1972=""),"","*CHECK!*")</f>
        <v/>
      </c>
      <c r="R1972" s="2830" t="s">
        <v>2723</v>
      </c>
      <c r="S1972" s="2798"/>
      <c r="T1972" s="2798"/>
      <c r="U1972" s="2798"/>
      <c r="V1972" s="2798"/>
      <c r="W1972" s="2798"/>
      <c r="X1972" s="2798"/>
      <c r="Y1972" s="2798"/>
      <c r="Z1972" s="2798"/>
    </row>
    <row r="1973" spans="1:26" ht="15" customHeight="1">
      <c r="A1973" s="2804"/>
      <c r="B1973" s="2626" t="s">
        <v>4247</v>
      </c>
      <c r="C1973" s="2626"/>
      <c r="D1973" s="2626"/>
      <c r="E1973" s="2626"/>
      <c r="F1973" s="2626"/>
      <c r="G1973" s="2626"/>
      <c r="H1973" s="2626"/>
      <c r="I1973" s="2626"/>
      <c r="J1973" s="2626"/>
      <c r="K1973" s="2626"/>
      <c r="L1973" s="2626"/>
      <c r="M1973" s="2661" t="s">
        <v>4821</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2846</v>
      </c>
      <c r="N1975" s="2800"/>
      <c r="O1975" s="2886">
        <f>'Part VI-Revenues &amp; Expenses'!$O$62</f>
        <v>50</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2847</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4822</v>
      </c>
      <c r="B1979" s="2657" t="s">
        <v>3377</v>
      </c>
      <c r="C1979" s="2686"/>
      <c r="D1979" s="2798"/>
      <c r="E1979" s="2798"/>
      <c r="F1979" s="2798"/>
      <c r="G1979" s="2798"/>
      <c r="H1979" s="2686"/>
      <c r="I1979" s="2798"/>
      <c r="J1979" s="2798"/>
      <c r="K1979" s="2798"/>
      <c r="L1979" s="2798"/>
      <c r="M1979" s="2800">
        <v>1</v>
      </c>
      <c r="N1979" s="2712" t="s">
        <v>2000</v>
      </c>
      <c r="O1979" s="2746">
        <f>'Part IX A-Scoring Criteria'!O425</f>
        <v>0</v>
      </c>
      <c r="P1979" s="2746">
        <f>'Part IX A-Scoring Criteria'!P425</f>
        <v>0</v>
      </c>
      <c r="Q1979" s="2786" t="str">
        <f>IF(OR($O1979=$M1979,$O1979=0,$O1979=""),"","*CHECK!*")</f>
        <v/>
      </c>
      <c r="R1979" s="2830" t="s">
        <v>2723</v>
      </c>
      <c r="S1979" s="2798"/>
      <c r="T1979" s="2798"/>
      <c r="U1979" s="2798"/>
      <c r="V1979" s="2798"/>
      <c r="W1979" s="2798"/>
      <c r="X1979" s="2798"/>
      <c r="Y1979" s="2798"/>
      <c r="Z1979" s="2798"/>
    </row>
    <row r="1980" spans="1:26" ht="15" customHeight="1">
      <c r="A1980" s="2888"/>
      <c r="B1980" s="2661" t="s">
        <v>4248</v>
      </c>
      <c r="C1980" s="2661"/>
      <c r="D1980" s="2661"/>
      <c r="E1980" s="2661"/>
      <c r="F1980" s="2661"/>
      <c r="G1980" s="2661"/>
      <c r="H1980" s="2661"/>
      <c r="I1980" s="2661"/>
      <c r="J1980" s="2661"/>
      <c r="K1980" s="2661"/>
      <c r="L1980" s="2661"/>
      <c r="M1980" s="2721" t="s">
        <v>2846</v>
      </c>
      <c r="N1980" s="2800"/>
      <c r="O1980" s="2886">
        <f>'Part VI-Revenues &amp; Expenses'!$O$62</f>
        <v>50</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2847</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3780</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90">
      <c r="A1983" s="2661" t="str">
        <f>'Part IX A-Scoring Criteria'!A429</f>
        <v>The project is new construction and is not deemed historic or adaptive reuse.</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1879</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4152</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3682</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3683</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3684</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1879</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889"/>
      <c r="S1994" s="2747"/>
      <c r="T1994" s="2747"/>
      <c r="U1994" s="2747"/>
      <c r="V1994" s="2747"/>
      <c r="W1994" s="2747"/>
      <c r="X1994" s="2747"/>
      <c r="Y1994" s="2747"/>
      <c r="Z1994" s="2747"/>
    </row>
    <row r="1995" spans="1:26" ht="15">
      <c r="A1995" s="2874"/>
      <c r="B1995" s="2890"/>
      <c r="C1995" s="2354"/>
      <c r="F1995" s="2747"/>
      <c r="G1995" s="2891" t="s">
        <v>429</v>
      </c>
      <c r="H1995" s="2354"/>
      <c r="I1995" s="2743"/>
      <c r="J1995" s="2743"/>
      <c r="K1995" s="2743"/>
      <c r="L1995" s="2765"/>
      <c r="M1995" s="2892">
        <f>M1562+M1597+M1611+M1621+M1648+M1665+M1707+M1743+M1782+M1824+M1840+M1848+M1870+M1878+M1891+M1900+M1916+M1950+M1968+M1987</f>
        <v>95</v>
      </c>
      <c r="N1995" s="2893"/>
      <c r="O1995" s="2892">
        <f>O1562+O1597+O1611+O1621+O1648+O1665+O1707+O1743+O1824+O1840+O1848+O1870+O1891+O1900+O1916+O1950+O1968+O1987</f>
        <v>56</v>
      </c>
      <c r="P1995" s="2892">
        <f>P1562+P1597+P1611+P1621+P1648+P1665+P1707+P1743+P1782+P1824+P1840+P1848+P1870+P1878+P1891+P1900+P1916+P1950+P1968+P1987</f>
        <v>20</v>
      </c>
      <c r="Q1995" s="2354"/>
      <c r="R1995" s="2602">
        <f>'Part IX A-Scoring Criteria'!O441</f>
        <v>56</v>
      </c>
      <c r="S1995" s="2354"/>
      <c r="T1995" s="2354"/>
      <c r="U1995" s="2354"/>
      <c r="V1995" s="2354"/>
      <c r="W1995" s="2354"/>
      <c r="X1995" s="2354"/>
      <c r="Y1995" s="2354"/>
      <c r="Z1995" s="2354"/>
    </row>
    <row r="1996" spans="1:26" ht="15.75">
      <c r="A1996" s="2747"/>
      <c r="B1996" s="2890"/>
      <c r="C1996" s="2747"/>
      <c r="F1996" s="2745"/>
      <c r="G1996" s="2745"/>
      <c r="H1996" s="2569" t="s">
        <v>4242</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90"/>
      <c r="C1997" s="2747"/>
      <c r="F1997" s="2745"/>
      <c r="G1997" s="2745"/>
      <c r="H1997" s="2569" t="s">
        <v>4243</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4251</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90"/>
      <c r="C1999" s="2747"/>
      <c r="F1999" s="2597"/>
      <c r="G1999" s="2597"/>
      <c r="H1999" s="2745"/>
      <c r="I1999" s="2745"/>
      <c r="J1999" s="2441"/>
      <c r="K1999" s="2441"/>
      <c r="L1999" s="2747"/>
      <c r="N1999" s="2562"/>
      <c r="O1999" s="2562"/>
      <c r="P1999" s="2746"/>
    </row>
    <row r="2000" spans="1:26" ht="15" customHeight="1">
      <c r="A2000" s="2894" t="s">
        <v>3714</v>
      </c>
      <c r="B2000" s="2894"/>
      <c r="C2000" s="2894"/>
      <c r="D2000" s="2894"/>
      <c r="E2000" s="2894"/>
      <c r="F2000" s="2894"/>
      <c r="G2000" s="2894"/>
      <c r="H2000" s="2894"/>
      <c r="I2000" s="2894"/>
      <c r="J2000" s="2894"/>
      <c r="K2000" s="2894"/>
      <c r="L2000" s="2894"/>
      <c r="M2000" s="2894"/>
      <c r="N2000" s="2894"/>
      <c r="O2000" s="2894"/>
      <c r="P2000" s="2894"/>
      <c r="Q2000" s="2747"/>
      <c r="R2000" s="2747"/>
      <c r="S2000" s="2747"/>
      <c r="T2000" s="2747"/>
      <c r="U2000" s="2747"/>
      <c r="V2000" s="2747"/>
      <c r="W2000" s="2747"/>
      <c r="X2000" s="2747"/>
      <c r="Y2000" s="2747"/>
      <c r="Z2000" s="2747"/>
    </row>
    <row r="2001" spans="1:26" ht="15.75">
      <c r="A2001" s="2661">
        <f>'Part IX A-Scoring Criteria'!A447</f>
        <v>0</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4256</v>
      </c>
    </row>
    <row r="2010" spans="1:26" ht="16.5">
      <c r="A2010" s="2895" t="str">
        <f>'Part I-Project Information'!$F$34</f>
        <v>Sparrow Pointe at Forest Hill</v>
      </c>
    </row>
    <row r="2011" spans="1:26" ht="16.5">
      <c r="A2011" s="2895" t="str">
        <f>CONCATENATE('Part I-Project Information'!$F$38,", ", 'Part I-Project Information'!$J$39," County")</f>
        <v>Moultrie, Colquitt County</v>
      </c>
    </row>
    <row r="2013" spans="1:26" ht="12.75" customHeight="1">
      <c r="A2013" s="234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SlqaxA7SWkZSExdyKn/YexFmyZnjy3YgR/dWLOQ/3XUI9QD5oUYm/oUmqQMMmpARzTAEnHJutub2p5GmG3vA==" saltValue="qc0qrlS5Buq/yPZIcK+Vgg==" spinCount="100000" sheet="1" objects="1" scenarios="1"/>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2018-030 Sparrow Pointe at Forest Hill, Moultrie, Colquitt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1871</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3515" t="s">
        <v>4568</v>
      </c>
      <c r="I5" s="3516"/>
      <c r="J5" s="3516"/>
      <c r="K5" s="3516"/>
      <c r="L5" s="3516"/>
      <c r="M5" s="3516"/>
      <c r="N5" s="3517"/>
      <c r="O5" s="1559" t="s">
        <v>2004</v>
      </c>
      <c r="P5" s="1559"/>
      <c r="Q5" s="3515" t="s">
        <v>4555</v>
      </c>
      <c r="R5" s="3516"/>
      <c r="S5" s="3517"/>
      <c r="Y5" s="1163"/>
      <c r="Z5" s="1164"/>
      <c r="AA5" s="1570"/>
    </row>
    <row r="6" spans="1:27" s="305" customFormat="1" ht="11.25" customHeight="1">
      <c r="D6" s="348"/>
      <c r="E6" s="310" t="s">
        <v>1031</v>
      </c>
      <c r="F6" s="318"/>
      <c r="H6" s="3515" t="s">
        <v>4696</v>
      </c>
      <c r="I6" s="3516"/>
      <c r="J6" s="3516"/>
      <c r="K6" s="3516"/>
      <c r="L6" s="3516"/>
      <c r="M6" s="3516"/>
      <c r="N6" s="3517"/>
      <c r="O6" s="1559" t="s">
        <v>1760</v>
      </c>
      <c r="Q6" s="3515" t="s">
        <v>2489</v>
      </c>
      <c r="R6" s="3516"/>
      <c r="S6" s="3517"/>
      <c r="V6" s="1163"/>
      <c r="W6" s="1163"/>
      <c r="X6" s="1163"/>
      <c r="Y6" s="1163"/>
      <c r="Z6" s="1164"/>
      <c r="AA6" s="1570"/>
    </row>
    <row r="7" spans="1:27" s="305" customFormat="1" ht="11.25" customHeight="1">
      <c r="D7" s="348"/>
      <c r="E7" s="310" t="s">
        <v>624</v>
      </c>
      <c r="H7" s="3515" t="s">
        <v>4556</v>
      </c>
      <c r="I7" s="3516"/>
      <c r="J7" s="3517"/>
      <c r="K7" s="3518" t="s">
        <v>770</v>
      </c>
      <c r="L7" s="3515" t="s">
        <v>3226</v>
      </c>
      <c r="M7" s="3516"/>
      <c r="N7" s="3517"/>
      <c r="O7" s="1559" t="s">
        <v>1734</v>
      </c>
      <c r="Q7" s="3519">
        <v>9046196215</v>
      </c>
      <c r="R7" s="3520"/>
      <c r="S7" s="3521"/>
    </row>
    <row r="8" spans="1:27" s="305" customFormat="1" ht="11.25" customHeight="1">
      <c r="D8" s="348"/>
      <c r="E8" s="310" t="s">
        <v>1812</v>
      </c>
      <c r="H8" s="3522" t="s">
        <v>855</v>
      </c>
      <c r="I8" s="1562" t="s">
        <v>2244</v>
      </c>
      <c r="J8" s="3523">
        <v>347440000</v>
      </c>
      <c r="K8" s="3517"/>
      <c r="L8" s="305" t="s">
        <v>3713</v>
      </c>
      <c r="M8" s="3524" t="s">
        <v>4569</v>
      </c>
      <c r="N8" s="3525"/>
      <c r="O8" s="1559" t="s">
        <v>1994</v>
      </c>
      <c r="Q8" s="3519"/>
      <c r="R8" s="3520"/>
      <c r="S8" s="3521"/>
    </row>
    <row r="9" spans="1:27" s="305" customFormat="1" ht="11.25" customHeight="1">
      <c r="D9" s="348"/>
      <c r="E9" s="310" t="s">
        <v>4316</v>
      </c>
      <c r="H9" s="3519">
        <v>9046196215</v>
      </c>
      <c r="I9" s="3521"/>
      <c r="J9" s="3526"/>
      <c r="K9" s="1571" t="s">
        <v>1999</v>
      </c>
      <c r="L9" s="3527" t="s">
        <v>4557</v>
      </c>
      <c r="M9" s="3528"/>
      <c r="N9" s="3528"/>
      <c r="O9" s="3528"/>
      <c r="P9" s="3528"/>
      <c r="Q9" s="3528"/>
      <c r="R9" s="3528"/>
      <c r="S9" s="3529"/>
    </row>
    <row r="10" spans="1:27" s="305" customFormat="1" ht="11.25" customHeight="1">
      <c r="D10" s="348"/>
      <c r="E10" s="1417" t="s">
        <v>4315</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3530" t="s">
        <v>1296</v>
      </c>
      <c r="W12" s="3530"/>
      <c r="X12" s="3530"/>
      <c r="Y12" s="3530"/>
      <c r="Z12" s="3530"/>
    </row>
    <row r="13" spans="1:27" s="305" customFormat="1" ht="11.25" customHeight="1">
      <c r="C13" s="350" t="s">
        <v>2001</v>
      </c>
      <c r="D13" s="347" t="s">
        <v>2002</v>
      </c>
      <c r="H13" s="1570"/>
      <c r="I13" s="1570"/>
      <c r="J13" s="1570"/>
      <c r="N13" s="1165"/>
      <c r="W13" s="3531"/>
      <c r="X13" s="3531"/>
      <c r="Y13" s="3531"/>
      <c r="Z13" s="3531"/>
    </row>
    <row r="14" spans="1:27" s="305" customFormat="1" ht="11.25" customHeight="1">
      <c r="D14" s="307" t="s">
        <v>2131</v>
      </c>
      <c r="E14" s="305" t="s">
        <v>1869</v>
      </c>
      <c r="H14" s="3532" t="s">
        <v>4686</v>
      </c>
      <c r="I14" s="3533"/>
      <c r="J14" s="3533"/>
      <c r="K14" s="3533"/>
      <c r="L14" s="3533"/>
      <c r="M14" s="3533"/>
      <c r="N14" s="3534"/>
      <c r="O14" s="1559" t="s">
        <v>2004</v>
      </c>
      <c r="P14" s="1559"/>
      <c r="Q14" s="3532" t="s">
        <v>4555</v>
      </c>
      <c r="R14" s="3533"/>
      <c r="S14" s="3534"/>
    </row>
    <row r="15" spans="1:27" s="305" customFormat="1" ht="11.25" customHeight="1">
      <c r="D15" s="348"/>
      <c r="E15" s="310" t="s">
        <v>1031</v>
      </c>
      <c r="F15" s="318"/>
      <c r="H15" s="3532" t="s">
        <v>4696</v>
      </c>
      <c r="I15" s="3533"/>
      <c r="J15" s="3533"/>
      <c r="K15" s="3533"/>
      <c r="L15" s="3533"/>
      <c r="M15" s="3533"/>
      <c r="N15" s="3534"/>
      <c r="O15" s="1559" t="s">
        <v>1760</v>
      </c>
      <c r="Q15" s="3532" t="s">
        <v>2489</v>
      </c>
      <c r="R15" s="3533"/>
      <c r="S15" s="3534"/>
    </row>
    <row r="16" spans="1:27" s="305" customFormat="1" ht="11.25" customHeight="1">
      <c r="D16" s="348"/>
      <c r="E16" s="310" t="s">
        <v>624</v>
      </c>
      <c r="H16" s="3532" t="s">
        <v>4556</v>
      </c>
      <c r="I16" s="3533"/>
      <c r="J16" s="3534"/>
      <c r="K16" s="1561" t="s">
        <v>2721</v>
      </c>
      <c r="L16" s="3532"/>
      <c r="M16" s="3533"/>
      <c r="N16" s="3534"/>
      <c r="O16" s="1559" t="s">
        <v>1734</v>
      </c>
      <c r="Q16" s="3535">
        <v>9046196215</v>
      </c>
      <c r="R16" s="3536"/>
      <c r="S16" s="3537"/>
    </row>
    <row r="17" spans="3:19" s="305" customFormat="1" ht="11.25" customHeight="1">
      <c r="D17" s="307"/>
      <c r="E17" s="310" t="s">
        <v>1812</v>
      </c>
      <c r="H17" s="3538" t="s">
        <v>855</v>
      </c>
      <c r="K17" s="1562" t="s">
        <v>2244</v>
      </c>
      <c r="L17" s="3539">
        <v>347440000</v>
      </c>
      <c r="M17" s="3540"/>
      <c r="O17" s="1559" t="s">
        <v>1994</v>
      </c>
      <c r="Q17" s="3535"/>
      <c r="R17" s="3536"/>
      <c r="S17" s="3537"/>
    </row>
    <row r="18" spans="3:19" s="305" customFormat="1" ht="11.25" customHeight="1">
      <c r="D18" s="348"/>
      <c r="E18" s="310" t="s">
        <v>4316</v>
      </c>
      <c r="H18" s="3535">
        <v>9046196215</v>
      </c>
      <c r="I18" s="3537"/>
      <c r="J18" s="3541"/>
      <c r="K18" s="1571" t="s">
        <v>1999</v>
      </c>
      <c r="L18" s="3527" t="s">
        <v>4557</v>
      </c>
      <c r="M18" s="3528"/>
      <c r="N18" s="3528"/>
      <c r="O18" s="3528"/>
      <c r="P18" s="3528"/>
      <c r="Q18" s="3528"/>
      <c r="R18" s="3528"/>
      <c r="S18" s="3529"/>
    </row>
    <row r="19" spans="3:19" ht="4.1500000000000004" customHeight="1">
      <c r="D19" s="333"/>
      <c r="H19" s="3542"/>
      <c r="I19" s="3542"/>
      <c r="J19" s="3542"/>
      <c r="K19" s="1571"/>
      <c r="L19" s="3542"/>
      <c r="M19" s="3542"/>
      <c r="N19" s="1558"/>
      <c r="O19" s="1613"/>
      <c r="P19" s="1613"/>
      <c r="Q19" s="1571"/>
      <c r="R19" s="1613"/>
      <c r="S19" s="1613"/>
    </row>
    <row r="20" spans="3:19" s="305" customFormat="1" ht="11.25" customHeight="1">
      <c r="D20" s="307" t="s">
        <v>2132</v>
      </c>
      <c r="E20" s="305" t="s">
        <v>1870</v>
      </c>
      <c r="F20" s="1570"/>
      <c r="H20" s="3532"/>
      <c r="I20" s="3533"/>
      <c r="J20" s="3533"/>
      <c r="K20" s="3533"/>
      <c r="L20" s="3533"/>
      <c r="M20" s="3533"/>
      <c r="N20" s="3534"/>
      <c r="O20" s="1559" t="s">
        <v>2004</v>
      </c>
      <c r="P20" s="1559"/>
      <c r="Q20" s="3532"/>
      <c r="R20" s="3533"/>
      <c r="S20" s="3534"/>
    </row>
    <row r="21" spans="3:19" s="305" customFormat="1" ht="11.25" customHeight="1">
      <c r="D21" s="348"/>
      <c r="E21" s="310" t="s">
        <v>1031</v>
      </c>
      <c r="F21" s="318"/>
      <c r="H21" s="3532"/>
      <c r="I21" s="3533"/>
      <c r="J21" s="3533"/>
      <c r="K21" s="3533"/>
      <c r="L21" s="3533"/>
      <c r="M21" s="3533"/>
      <c r="N21" s="3534"/>
      <c r="O21" s="1559" t="s">
        <v>1760</v>
      </c>
      <c r="Q21" s="3532"/>
      <c r="R21" s="3533"/>
      <c r="S21" s="3534"/>
    </row>
    <row r="22" spans="3:19" s="305" customFormat="1" ht="11.25" customHeight="1">
      <c r="D22" s="348"/>
      <c r="E22" s="310" t="s">
        <v>624</v>
      </c>
      <c r="H22" s="3532"/>
      <c r="I22" s="3533"/>
      <c r="J22" s="3534"/>
      <c r="K22" s="1561" t="s">
        <v>2721</v>
      </c>
      <c r="L22" s="3532"/>
      <c r="M22" s="3533"/>
      <c r="N22" s="3534"/>
      <c r="O22" s="1559" t="s">
        <v>1734</v>
      </c>
      <c r="Q22" s="3535"/>
      <c r="R22" s="3536"/>
      <c r="S22" s="3537"/>
    </row>
    <row r="23" spans="3:19" s="305" customFormat="1" ht="11.25" customHeight="1">
      <c r="E23" s="310" t="s">
        <v>1812</v>
      </c>
      <c r="H23" s="3538"/>
      <c r="K23" s="1562" t="s">
        <v>2244</v>
      </c>
      <c r="L23" s="3539"/>
      <c r="M23" s="3540"/>
      <c r="O23" s="1559" t="s">
        <v>1994</v>
      </c>
      <c r="Q23" s="3535"/>
      <c r="R23" s="3536"/>
      <c r="S23" s="3537"/>
    </row>
    <row r="24" spans="3:19" s="305" customFormat="1" ht="11.25" customHeight="1">
      <c r="D24" s="348"/>
      <c r="E24" s="310" t="s">
        <v>4316</v>
      </c>
      <c r="H24" s="3535"/>
      <c r="I24" s="3537"/>
      <c r="J24" s="3541"/>
      <c r="K24" s="1571" t="s">
        <v>1999</v>
      </c>
      <c r="L24" s="3527"/>
      <c r="M24" s="3528"/>
      <c r="N24" s="3528"/>
      <c r="O24" s="3528"/>
      <c r="P24" s="3528"/>
      <c r="Q24" s="3528"/>
      <c r="R24" s="3528"/>
      <c r="S24" s="3529"/>
    </row>
    <row r="25" spans="3:19" s="305" customFormat="1" ht="4.1500000000000004"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1870</v>
      </c>
      <c r="F26" s="1570"/>
      <c r="H26" s="3532"/>
      <c r="I26" s="3533"/>
      <c r="J26" s="3533"/>
      <c r="K26" s="3533"/>
      <c r="L26" s="3533"/>
      <c r="M26" s="3533"/>
      <c r="N26" s="3534"/>
      <c r="O26" s="1559" t="s">
        <v>2004</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2721</v>
      </c>
      <c r="L28" s="3532"/>
      <c r="M28" s="3533"/>
      <c r="N28" s="3534"/>
      <c r="O28" s="1559" t="s">
        <v>1734</v>
      </c>
      <c r="Q28" s="3535"/>
      <c r="R28" s="3536"/>
      <c r="S28" s="3537"/>
    </row>
    <row r="29" spans="3:19" s="305" customFormat="1" ht="11.25" customHeight="1">
      <c r="E29" s="310" t="s">
        <v>1812</v>
      </c>
      <c r="H29" s="3538"/>
      <c r="K29" s="1562" t="s">
        <v>2244</v>
      </c>
      <c r="L29" s="3539"/>
      <c r="M29" s="3540"/>
      <c r="O29" s="1559" t="s">
        <v>1994</v>
      </c>
      <c r="Q29" s="3535"/>
      <c r="R29" s="3536"/>
      <c r="S29" s="3537"/>
    </row>
    <row r="30" spans="3:19" s="305" customFormat="1" ht="11.25" customHeight="1">
      <c r="D30" s="348"/>
      <c r="E30" s="310" t="s">
        <v>4316</v>
      </c>
      <c r="H30" s="3535"/>
      <c r="I30" s="3537"/>
      <c r="J30" s="3541"/>
      <c r="K30" s="1571" t="s">
        <v>1999</v>
      </c>
      <c r="L30" s="3527"/>
      <c r="M30" s="3528"/>
      <c r="N30" s="3528"/>
      <c r="O30" s="3528"/>
      <c r="P30" s="3528"/>
      <c r="Q30" s="3528"/>
      <c r="R30" s="3528"/>
      <c r="S30" s="3529"/>
    </row>
    <row r="31" spans="3:19" ht="4.1500000000000004" customHeight="1"/>
    <row r="32" spans="3:19" s="305" customFormat="1" ht="11.25" customHeight="1">
      <c r="C32" s="350" t="s">
        <v>2003</v>
      </c>
      <c r="D32" s="347" t="s">
        <v>1872</v>
      </c>
      <c r="H32" s="1570"/>
      <c r="I32" s="1570"/>
      <c r="J32" s="1570"/>
      <c r="K32" s="1417" t="s">
        <v>4315</v>
      </c>
      <c r="L32" s="1570"/>
      <c r="M32" s="1570"/>
    </row>
    <row r="33" spans="3:19" s="305" customFormat="1" ht="11.25" customHeight="1">
      <c r="D33" s="307" t="s">
        <v>2131</v>
      </c>
      <c r="E33" s="305" t="s">
        <v>758</v>
      </c>
      <c r="H33" s="3532" t="s">
        <v>4570</v>
      </c>
      <c r="I33" s="3533"/>
      <c r="J33" s="3533"/>
      <c r="K33" s="3533"/>
      <c r="L33" s="3533"/>
      <c r="M33" s="3533"/>
      <c r="N33" s="3534"/>
      <c r="O33" s="1559" t="s">
        <v>2004</v>
      </c>
      <c r="P33" s="1559"/>
      <c r="Q33" s="3532" t="s">
        <v>4571</v>
      </c>
      <c r="R33" s="3533"/>
      <c r="S33" s="3534"/>
    </row>
    <row r="34" spans="3:19" s="305" customFormat="1" ht="11.25" customHeight="1">
      <c r="D34" s="348"/>
      <c r="E34" s="310" t="s">
        <v>1031</v>
      </c>
      <c r="F34" s="318"/>
      <c r="H34" s="3532" t="s">
        <v>4572</v>
      </c>
      <c r="I34" s="3533"/>
      <c r="J34" s="3533"/>
      <c r="K34" s="3533"/>
      <c r="L34" s="3533"/>
      <c r="M34" s="3533"/>
      <c r="N34" s="3534"/>
      <c r="O34" s="1559" t="s">
        <v>1760</v>
      </c>
      <c r="Q34" s="3532" t="s">
        <v>4573</v>
      </c>
      <c r="R34" s="3533"/>
      <c r="S34" s="3534"/>
    </row>
    <row r="35" spans="3:19" s="305" customFormat="1" ht="11.25" customHeight="1">
      <c r="D35" s="348"/>
      <c r="E35" s="310" t="s">
        <v>624</v>
      </c>
      <c r="H35" s="3532" t="s">
        <v>2544</v>
      </c>
      <c r="I35" s="3533"/>
      <c r="J35" s="3534"/>
      <c r="K35" s="1561" t="s">
        <v>2721</v>
      </c>
      <c r="L35" s="3532" t="s">
        <v>4574</v>
      </c>
      <c r="M35" s="3533"/>
      <c r="N35" s="3534"/>
      <c r="O35" s="1559" t="s">
        <v>1734</v>
      </c>
      <c r="Q35" s="3535">
        <v>5734432021</v>
      </c>
      <c r="R35" s="3536"/>
      <c r="S35" s="3537"/>
    </row>
    <row r="36" spans="3:19" s="305" customFormat="1" ht="11.25" customHeight="1">
      <c r="E36" s="310" t="s">
        <v>1812</v>
      </c>
      <c r="H36" s="3538" t="s">
        <v>1353</v>
      </c>
      <c r="K36" s="1562" t="s">
        <v>2244</v>
      </c>
      <c r="L36" s="3539">
        <v>652030000</v>
      </c>
      <c r="M36" s="3540"/>
      <c r="O36" s="1559" t="s">
        <v>1994</v>
      </c>
      <c r="Q36" s="3535">
        <v>5734248811</v>
      </c>
      <c r="R36" s="3536"/>
      <c r="S36" s="3537"/>
    </row>
    <row r="37" spans="3:19" s="305" customFormat="1" ht="11.25" customHeight="1">
      <c r="D37" s="348"/>
      <c r="E37" s="310" t="s">
        <v>4316</v>
      </c>
      <c r="H37" s="3535">
        <v>5734432021</v>
      </c>
      <c r="I37" s="3537"/>
      <c r="J37" s="3541"/>
      <c r="K37" s="1571" t="s">
        <v>1999</v>
      </c>
      <c r="L37" s="3527" t="s">
        <v>4575</v>
      </c>
      <c r="M37" s="3528"/>
      <c r="N37" s="3528"/>
      <c r="O37" s="3528"/>
      <c r="P37" s="3528"/>
      <c r="Q37" s="3528"/>
      <c r="R37" s="3528"/>
      <c r="S37" s="3529"/>
    </row>
    <row r="38" spans="3:19" ht="4.1500000000000004" customHeight="1">
      <c r="H38" s="3542"/>
      <c r="I38" s="3542"/>
      <c r="J38" s="3542"/>
      <c r="K38" s="1571"/>
      <c r="L38" s="3542"/>
      <c r="M38" s="3542"/>
      <c r="N38" s="1558"/>
      <c r="O38" s="1613"/>
      <c r="P38" s="1613"/>
      <c r="Q38" s="1571"/>
      <c r="R38" s="1613"/>
      <c r="S38" s="1613"/>
    </row>
    <row r="39" spans="3:19" s="305" customFormat="1" ht="11.25" customHeight="1">
      <c r="D39" s="307" t="s">
        <v>2132</v>
      </c>
      <c r="E39" s="305" t="s">
        <v>759</v>
      </c>
      <c r="F39" s="307"/>
      <c r="H39" s="3532" t="s">
        <v>4570</v>
      </c>
      <c r="I39" s="3533"/>
      <c r="J39" s="3533"/>
      <c r="K39" s="3533"/>
      <c r="L39" s="3533"/>
      <c r="M39" s="3533"/>
      <c r="N39" s="3534"/>
      <c r="O39" s="1559" t="s">
        <v>2004</v>
      </c>
      <c r="P39" s="1559"/>
      <c r="Q39" s="3532" t="s">
        <v>4571</v>
      </c>
      <c r="R39" s="3533"/>
      <c r="S39" s="3534"/>
    </row>
    <row r="40" spans="3:19" s="305" customFormat="1" ht="11.25" customHeight="1">
      <c r="D40" s="348"/>
      <c r="E40" s="310" t="s">
        <v>1031</v>
      </c>
      <c r="F40" s="318"/>
      <c r="H40" s="3532" t="s">
        <v>4572</v>
      </c>
      <c r="I40" s="3533"/>
      <c r="J40" s="3533"/>
      <c r="K40" s="3533"/>
      <c r="L40" s="3533"/>
      <c r="M40" s="3533"/>
      <c r="N40" s="3534"/>
      <c r="O40" s="1559" t="s">
        <v>1760</v>
      </c>
      <c r="Q40" s="3532" t="s">
        <v>4573</v>
      </c>
      <c r="R40" s="3533"/>
      <c r="S40" s="3534"/>
    </row>
    <row r="41" spans="3:19" s="305" customFormat="1" ht="11.25" customHeight="1">
      <c r="D41" s="348"/>
      <c r="E41" s="310" t="s">
        <v>624</v>
      </c>
      <c r="H41" s="3532" t="s">
        <v>2544</v>
      </c>
      <c r="I41" s="3533"/>
      <c r="J41" s="3534"/>
      <c r="K41" s="1561" t="s">
        <v>2721</v>
      </c>
      <c r="L41" s="3532" t="s">
        <v>4574</v>
      </c>
      <c r="M41" s="3533"/>
      <c r="N41" s="3534"/>
      <c r="O41" s="1559" t="s">
        <v>1734</v>
      </c>
      <c r="Q41" s="3535">
        <v>5734432021</v>
      </c>
      <c r="R41" s="3536"/>
      <c r="S41" s="3537"/>
    </row>
    <row r="42" spans="3:19" s="305" customFormat="1" ht="11.25" customHeight="1">
      <c r="D42" s="307"/>
      <c r="E42" s="310" t="s">
        <v>1812</v>
      </c>
      <c r="H42" s="3538" t="s">
        <v>1353</v>
      </c>
      <c r="K42" s="1562" t="s">
        <v>2244</v>
      </c>
      <c r="L42" s="3539">
        <v>652030000</v>
      </c>
      <c r="M42" s="3540"/>
      <c r="O42" s="1559" t="s">
        <v>1994</v>
      </c>
      <c r="Q42" s="3535">
        <v>5734248811</v>
      </c>
      <c r="R42" s="3536"/>
      <c r="S42" s="3537"/>
    </row>
    <row r="43" spans="3:19" s="305" customFormat="1" ht="11.25" customHeight="1">
      <c r="D43" s="348"/>
      <c r="E43" s="310" t="s">
        <v>4316</v>
      </c>
      <c r="H43" s="3535">
        <v>5734432021</v>
      </c>
      <c r="I43" s="3537"/>
      <c r="J43" s="3541"/>
      <c r="K43" s="1571" t="s">
        <v>1999</v>
      </c>
      <c r="L43" s="3527" t="s">
        <v>4575</v>
      </c>
      <c r="M43" s="3528"/>
      <c r="N43" s="3528"/>
      <c r="O43" s="3528"/>
      <c r="P43" s="3528"/>
      <c r="Q43" s="3528"/>
      <c r="R43" s="3528"/>
      <c r="S43" s="352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2550</v>
      </c>
      <c r="D45" s="347" t="s">
        <v>657</v>
      </c>
      <c r="H45" s="1570"/>
      <c r="I45" s="1570"/>
      <c r="J45" s="1570"/>
      <c r="K45" s="1417" t="s">
        <v>4315</v>
      </c>
      <c r="L45" s="1570"/>
      <c r="M45" s="1570"/>
    </row>
    <row r="46" spans="3:19" s="305" customFormat="1" ht="11.25" customHeight="1">
      <c r="E46" s="305" t="s">
        <v>93</v>
      </c>
      <c r="H46" s="3532"/>
      <c r="I46" s="3533"/>
      <c r="J46" s="3533"/>
      <c r="K46" s="3533"/>
      <c r="L46" s="3533"/>
      <c r="M46" s="3533"/>
      <c r="N46" s="3534"/>
      <c r="O46" s="1559" t="s">
        <v>2004</v>
      </c>
      <c r="P46" s="1559"/>
      <c r="Q46" s="3532"/>
      <c r="R46" s="3533"/>
      <c r="S46" s="3534"/>
    </row>
    <row r="47" spans="3:19" s="305" customFormat="1" ht="11.25" customHeight="1">
      <c r="D47" s="348"/>
      <c r="E47" s="310" t="s">
        <v>1031</v>
      </c>
      <c r="F47" s="318"/>
      <c r="H47" s="3532"/>
      <c r="I47" s="3533"/>
      <c r="J47" s="3533"/>
      <c r="K47" s="3533"/>
      <c r="L47" s="3533"/>
      <c r="M47" s="3533"/>
      <c r="N47" s="3534"/>
      <c r="O47" s="1559" t="s">
        <v>1760</v>
      </c>
      <c r="Q47" s="3532"/>
      <c r="R47" s="3533"/>
      <c r="S47" s="3534"/>
    </row>
    <row r="48" spans="3:19" s="305" customFormat="1" ht="11.25" customHeight="1">
      <c r="D48" s="348"/>
      <c r="E48" s="310" t="s">
        <v>624</v>
      </c>
      <c r="H48" s="3532"/>
      <c r="I48" s="3533"/>
      <c r="J48" s="3534"/>
      <c r="K48" s="1561" t="s">
        <v>2721</v>
      </c>
      <c r="L48" s="3532"/>
      <c r="M48" s="3533"/>
      <c r="N48" s="3534"/>
      <c r="O48" s="1559" t="s">
        <v>1734</v>
      </c>
      <c r="Q48" s="3535"/>
      <c r="R48" s="3536"/>
      <c r="S48" s="3537"/>
    </row>
    <row r="49" spans="1:19" s="305" customFormat="1" ht="11.25" customHeight="1">
      <c r="E49" s="310" t="s">
        <v>1812</v>
      </c>
      <c r="H49" s="3538"/>
      <c r="K49" s="1562" t="s">
        <v>2244</v>
      </c>
      <c r="L49" s="3539"/>
      <c r="M49" s="3540"/>
      <c r="O49" s="1559" t="s">
        <v>1994</v>
      </c>
      <c r="Q49" s="3535"/>
      <c r="R49" s="3536"/>
      <c r="S49" s="3537"/>
    </row>
    <row r="50" spans="1:19" s="305" customFormat="1" ht="11.25" customHeight="1">
      <c r="D50" s="348"/>
      <c r="E50" s="310" t="s">
        <v>4316</v>
      </c>
      <c r="H50" s="3535"/>
      <c r="I50" s="3537"/>
      <c r="J50" s="3541"/>
      <c r="K50" s="1571" t="s">
        <v>1999</v>
      </c>
      <c r="L50" s="3527"/>
      <c r="M50" s="3528"/>
      <c r="N50" s="3528"/>
      <c r="O50" s="3528"/>
      <c r="P50" s="3528"/>
      <c r="Q50" s="3528"/>
      <c r="R50" s="3528"/>
      <c r="S50" s="3529"/>
    </row>
    <row r="51" spans="1:19" ht="6.75" customHeight="1"/>
    <row r="52" spans="1:19" s="305" customFormat="1" ht="13.15" customHeight="1">
      <c r="A52" s="307" t="s">
        <v>748</v>
      </c>
      <c r="B52" s="307" t="s">
        <v>658</v>
      </c>
      <c r="F52" s="307"/>
      <c r="G52" s="1571"/>
      <c r="H52" s="1571"/>
      <c r="I52" s="1571"/>
      <c r="J52" s="1570"/>
      <c r="K52" s="1417" t="s">
        <v>4315</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1998</v>
      </c>
      <c r="C54" s="307" t="s">
        <v>284</v>
      </c>
      <c r="H54" s="3532" t="s">
        <v>4554</v>
      </c>
      <c r="I54" s="3533"/>
      <c r="J54" s="3533"/>
      <c r="K54" s="3533"/>
      <c r="L54" s="3533"/>
      <c r="M54" s="3533"/>
      <c r="N54" s="3534"/>
      <c r="O54" s="1559" t="s">
        <v>2004</v>
      </c>
      <c r="P54" s="1559"/>
      <c r="Q54" s="3532" t="s">
        <v>4555</v>
      </c>
      <c r="R54" s="3533"/>
      <c r="S54" s="3534"/>
    </row>
    <row r="55" spans="1:19" s="305" customFormat="1" ht="11.25" customHeight="1">
      <c r="D55" s="348"/>
      <c r="E55" s="310" t="s">
        <v>1031</v>
      </c>
      <c r="F55" s="318"/>
      <c r="H55" s="3532" t="s">
        <v>4696</v>
      </c>
      <c r="I55" s="3533"/>
      <c r="J55" s="3533"/>
      <c r="K55" s="3533"/>
      <c r="L55" s="3533"/>
      <c r="M55" s="3533"/>
      <c r="N55" s="3534"/>
      <c r="O55" s="1559" t="s">
        <v>1760</v>
      </c>
      <c r="Q55" s="3532" t="s">
        <v>2489</v>
      </c>
      <c r="R55" s="3533"/>
      <c r="S55" s="3534"/>
    </row>
    <row r="56" spans="1:19" s="305" customFormat="1" ht="11.25" customHeight="1">
      <c r="D56" s="348"/>
      <c r="E56" s="310" t="s">
        <v>624</v>
      </c>
      <c r="H56" s="3532" t="s">
        <v>4556</v>
      </c>
      <c r="I56" s="3533"/>
      <c r="J56" s="3534"/>
      <c r="K56" s="1561" t="s">
        <v>2721</v>
      </c>
      <c r="L56" s="3532"/>
      <c r="M56" s="3533"/>
      <c r="N56" s="3534"/>
      <c r="O56" s="1559" t="s">
        <v>1734</v>
      </c>
      <c r="Q56" s="3535">
        <v>9046196215</v>
      </c>
      <c r="R56" s="3536"/>
      <c r="S56" s="3537"/>
    </row>
    <row r="57" spans="1:19" s="305" customFormat="1" ht="11.25" customHeight="1">
      <c r="E57" s="310" t="s">
        <v>1812</v>
      </c>
      <c r="H57" s="3538" t="s">
        <v>855</v>
      </c>
      <c r="K57" s="1562" t="s">
        <v>2244</v>
      </c>
      <c r="L57" s="3539">
        <v>347440000</v>
      </c>
      <c r="M57" s="3540"/>
      <c r="O57" s="1559" t="s">
        <v>1994</v>
      </c>
      <c r="Q57" s="3535"/>
      <c r="R57" s="3536"/>
      <c r="S57" s="3537"/>
    </row>
    <row r="58" spans="1:19" s="305" customFormat="1" ht="11.25" customHeight="1">
      <c r="D58" s="348"/>
      <c r="E58" s="310" t="s">
        <v>4316</v>
      </c>
      <c r="H58" s="3535">
        <v>9046196215</v>
      </c>
      <c r="I58" s="3537"/>
      <c r="J58" s="3541"/>
      <c r="K58" s="1571" t="s">
        <v>1999</v>
      </c>
      <c r="L58" s="3527" t="s">
        <v>4557</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2000</v>
      </c>
      <c r="C60" s="307" t="s">
        <v>285</v>
      </c>
      <c r="H60" s="3532"/>
      <c r="I60" s="3533"/>
      <c r="J60" s="3533"/>
      <c r="K60" s="3533"/>
      <c r="L60" s="3533"/>
      <c r="M60" s="3533"/>
      <c r="N60" s="3534"/>
      <c r="O60" s="1559" t="s">
        <v>2004</v>
      </c>
      <c r="P60" s="1559"/>
      <c r="Q60" s="3532"/>
      <c r="R60" s="3533"/>
      <c r="S60" s="3534"/>
    </row>
    <row r="61" spans="1:19" s="305" customFormat="1" ht="11.25" customHeight="1">
      <c r="D61" s="348"/>
      <c r="E61" s="310" t="s">
        <v>1031</v>
      </c>
      <c r="F61" s="318"/>
      <c r="H61" s="3532"/>
      <c r="I61" s="3533"/>
      <c r="J61" s="3533"/>
      <c r="K61" s="3533"/>
      <c r="L61" s="3533"/>
      <c r="M61" s="3533"/>
      <c r="N61" s="3534"/>
      <c r="O61" s="1559" t="s">
        <v>1760</v>
      </c>
      <c r="Q61" s="3532"/>
      <c r="R61" s="3533"/>
      <c r="S61" s="3534"/>
    </row>
    <row r="62" spans="1:19" s="305" customFormat="1" ht="11.25" customHeight="1">
      <c r="D62" s="348"/>
      <c r="E62" s="310" t="s">
        <v>624</v>
      </c>
      <c r="H62" s="3532"/>
      <c r="I62" s="3533"/>
      <c r="J62" s="3534"/>
      <c r="K62" s="1561" t="s">
        <v>2721</v>
      </c>
      <c r="L62" s="3532"/>
      <c r="M62" s="3533"/>
      <c r="N62" s="3534"/>
      <c r="O62" s="1559" t="s">
        <v>1734</v>
      </c>
      <c r="Q62" s="3535"/>
      <c r="R62" s="3536"/>
      <c r="S62" s="3537"/>
    </row>
    <row r="63" spans="1:19" s="305" customFormat="1" ht="11.25" customHeight="1">
      <c r="E63" s="310" t="s">
        <v>1812</v>
      </c>
      <c r="H63" s="3538"/>
      <c r="K63" s="1562" t="s">
        <v>2244</v>
      </c>
      <c r="L63" s="3539"/>
      <c r="M63" s="3540"/>
      <c r="O63" s="1559" t="s">
        <v>1994</v>
      </c>
      <c r="Q63" s="3535"/>
      <c r="R63" s="3536"/>
      <c r="S63" s="3537"/>
    </row>
    <row r="64" spans="1:19" s="305" customFormat="1" ht="11.25" customHeight="1">
      <c r="D64" s="348"/>
      <c r="E64" s="310" t="s">
        <v>4316</v>
      </c>
      <c r="H64" s="3535"/>
      <c r="I64" s="3537"/>
      <c r="J64" s="3541"/>
      <c r="K64" s="1571" t="s">
        <v>1999</v>
      </c>
      <c r="L64" s="3527"/>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c r="I66" s="3533"/>
      <c r="J66" s="3533"/>
      <c r="K66" s="3533"/>
      <c r="L66" s="3533"/>
      <c r="M66" s="3533"/>
      <c r="N66" s="3534"/>
      <c r="O66" s="1559" t="s">
        <v>2004</v>
      </c>
      <c r="P66" s="1559"/>
      <c r="Q66" s="3532"/>
      <c r="R66" s="3533"/>
      <c r="S66" s="3534"/>
    </row>
    <row r="67" spans="1:19" s="305" customFormat="1" ht="11.25" customHeight="1">
      <c r="D67" s="348"/>
      <c r="E67" s="310" t="s">
        <v>1031</v>
      </c>
      <c r="F67" s="318"/>
      <c r="H67" s="3532"/>
      <c r="I67" s="3533"/>
      <c r="J67" s="3533"/>
      <c r="K67" s="3533"/>
      <c r="L67" s="3533"/>
      <c r="M67" s="3533"/>
      <c r="N67" s="3534"/>
      <c r="O67" s="1559" t="s">
        <v>1760</v>
      </c>
      <c r="Q67" s="3532"/>
      <c r="R67" s="3533"/>
      <c r="S67" s="3534"/>
    </row>
    <row r="68" spans="1:19" s="305" customFormat="1" ht="11.25" customHeight="1">
      <c r="D68" s="348"/>
      <c r="E68" s="310" t="s">
        <v>624</v>
      </c>
      <c r="H68" s="3532"/>
      <c r="I68" s="3533"/>
      <c r="J68" s="3534"/>
      <c r="K68" s="1561" t="s">
        <v>2721</v>
      </c>
      <c r="L68" s="3532"/>
      <c r="M68" s="3533"/>
      <c r="N68" s="3534"/>
      <c r="O68" s="1559" t="s">
        <v>1734</v>
      </c>
      <c r="Q68" s="3535"/>
      <c r="R68" s="3536"/>
      <c r="S68" s="3537"/>
    </row>
    <row r="69" spans="1:19" s="305" customFormat="1" ht="11.25" customHeight="1">
      <c r="E69" s="310" t="s">
        <v>1812</v>
      </c>
      <c r="H69" s="3538"/>
      <c r="K69" s="1562" t="s">
        <v>2244</v>
      </c>
      <c r="L69" s="3539"/>
      <c r="M69" s="3540"/>
      <c r="O69" s="1559" t="s">
        <v>1994</v>
      </c>
      <c r="Q69" s="3535"/>
      <c r="R69" s="3536"/>
      <c r="S69" s="3537"/>
    </row>
    <row r="70" spans="1:19" s="305" customFormat="1" ht="11.25" customHeight="1">
      <c r="D70" s="348"/>
      <c r="E70" s="310" t="s">
        <v>4316</v>
      </c>
      <c r="H70" s="3535"/>
      <c r="I70" s="3537"/>
      <c r="J70" s="3541"/>
      <c r="K70" s="1571" t="s">
        <v>1999</v>
      </c>
      <c r="L70" s="3527"/>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2130</v>
      </c>
      <c r="C72" s="307" t="s">
        <v>286</v>
      </c>
      <c r="H72" s="3532"/>
      <c r="I72" s="3533"/>
      <c r="J72" s="3533"/>
      <c r="K72" s="3533"/>
      <c r="L72" s="3533"/>
      <c r="M72" s="3533"/>
      <c r="N72" s="3534"/>
      <c r="O72" s="1559" t="s">
        <v>2004</v>
      </c>
      <c r="P72" s="1559"/>
      <c r="Q72" s="3532"/>
      <c r="R72" s="3533"/>
      <c r="S72" s="3534"/>
    </row>
    <row r="73" spans="1:19" s="305" customFormat="1" ht="11.25" customHeight="1">
      <c r="D73" s="348"/>
      <c r="E73" s="310" t="s">
        <v>1031</v>
      </c>
      <c r="F73" s="318"/>
      <c r="H73" s="3532"/>
      <c r="I73" s="3533"/>
      <c r="J73" s="3533"/>
      <c r="K73" s="3533"/>
      <c r="L73" s="3533"/>
      <c r="M73" s="3533"/>
      <c r="N73" s="3534"/>
      <c r="O73" s="1559" t="s">
        <v>1760</v>
      </c>
      <c r="Q73" s="3532"/>
      <c r="R73" s="3533"/>
      <c r="S73" s="3534"/>
    </row>
    <row r="74" spans="1:19" s="305" customFormat="1" ht="11.25" customHeight="1">
      <c r="D74" s="348"/>
      <c r="E74" s="310" t="s">
        <v>624</v>
      </c>
      <c r="H74" s="3532"/>
      <c r="I74" s="3533"/>
      <c r="J74" s="3534"/>
      <c r="K74" s="1561" t="s">
        <v>2721</v>
      </c>
      <c r="L74" s="3532"/>
      <c r="M74" s="3533"/>
      <c r="N74" s="3534"/>
      <c r="O74" s="1559" t="s">
        <v>1734</v>
      </c>
      <c r="Q74" s="3535"/>
      <c r="R74" s="3536"/>
      <c r="S74" s="3537"/>
    </row>
    <row r="75" spans="1:19" s="305" customFormat="1" ht="11.25" customHeight="1">
      <c r="E75" s="310" t="s">
        <v>1812</v>
      </c>
      <c r="H75" s="3538"/>
      <c r="K75" s="1562" t="s">
        <v>2244</v>
      </c>
      <c r="L75" s="3539"/>
      <c r="M75" s="3540"/>
      <c r="O75" s="1559" t="s">
        <v>1994</v>
      </c>
      <c r="Q75" s="3535"/>
      <c r="R75" s="3536"/>
      <c r="S75" s="3537"/>
    </row>
    <row r="76" spans="1:19" s="305" customFormat="1" ht="11.25" customHeight="1">
      <c r="D76" s="348"/>
      <c r="E76" s="310" t="s">
        <v>4316</v>
      </c>
      <c r="H76" s="3535"/>
      <c r="I76" s="3537"/>
      <c r="J76" s="3541"/>
      <c r="K76" s="1571" t="s">
        <v>1999</v>
      </c>
      <c r="L76" s="3527"/>
      <c r="M76" s="3528"/>
      <c r="N76" s="3528"/>
      <c r="O76" s="3528"/>
      <c r="P76" s="3528"/>
      <c r="Q76" s="3528"/>
      <c r="R76" s="3528"/>
      <c r="S76" s="3529"/>
    </row>
    <row r="77" spans="1:19" ht="6.75" customHeight="1"/>
    <row r="78" spans="1:19" s="310" customFormat="1" ht="13.15" customHeight="1">
      <c r="A78" s="311" t="s">
        <v>750</v>
      </c>
      <c r="B78" s="311" t="s">
        <v>287</v>
      </c>
      <c r="D78" s="311"/>
      <c r="E78" s="1559"/>
      <c r="F78" s="277"/>
      <c r="G78" s="277"/>
      <c r="H78" s="277"/>
      <c r="I78" s="277"/>
      <c r="J78" s="277"/>
      <c r="K78" s="1417" t="s">
        <v>4315</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1998</v>
      </c>
      <c r="C80" s="307" t="s">
        <v>288</v>
      </c>
      <c r="H80" s="3532"/>
      <c r="I80" s="3533"/>
      <c r="J80" s="3533"/>
      <c r="K80" s="3533"/>
      <c r="L80" s="3533"/>
      <c r="M80" s="3533"/>
      <c r="N80" s="3534"/>
      <c r="O80" s="1559" t="s">
        <v>2004</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2721</v>
      </c>
      <c r="L82" s="3532"/>
      <c r="M82" s="3533"/>
      <c r="N82" s="3534"/>
      <c r="O82" s="1559" t="s">
        <v>1734</v>
      </c>
      <c r="Q82" s="3535"/>
      <c r="R82" s="3536"/>
      <c r="S82" s="3537"/>
    </row>
    <row r="83" spans="2:19" s="305" customFormat="1" ht="11.25" customHeight="1">
      <c r="E83" s="310" t="s">
        <v>1812</v>
      </c>
      <c r="H83" s="3538"/>
      <c r="K83" s="1562" t="s">
        <v>2244</v>
      </c>
      <c r="L83" s="3539"/>
      <c r="M83" s="3540"/>
      <c r="O83" s="1559" t="s">
        <v>1994</v>
      </c>
      <c r="Q83" s="3535"/>
      <c r="R83" s="3536"/>
      <c r="S83" s="3537"/>
    </row>
    <row r="84" spans="2:19" s="305" customFormat="1" ht="11.25" customHeight="1">
      <c r="D84" s="348"/>
      <c r="E84" s="310" t="s">
        <v>4316</v>
      </c>
      <c r="H84" s="3535"/>
      <c r="I84" s="3537"/>
      <c r="J84" s="3541"/>
      <c r="K84" s="1571" t="s">
        <v>1999</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2000</v>
      </c>
      <c r="C86" s="307" t="s">
        <v>289</v>
      </c>
      <c r="H86" s="3532" t="s">
        <v>4576</v>
      </c>
      <c r="I86" s="3533"/>
      <c r="J86" s="3533"/>
      <c r="K86" s="3533"/>
      <c r="L86" s="3533"/>
      <c r="M86" s="3533"/>
      <c r="N86" s="3534"/>
      <c r="O86" s="1559" t="s">
        <v>2004</v>
      </c>
      <c r="P86" s="1559"/>
      <c r="Q86" s="3532" t="s">
        <v>4577</v>
      </c>
      <c r="R86" s="3533"/>
      <c r="S86" s="3534"/>
    </row>
    <row r="87" spans="2:19" s="305" customFormat="1" ht="11.25" customHeight="1">
      <c r="D87" s="348"/>
      <c r="E87" s="310" t="s">
        <v>1031</v>
      </c>
      <c r="F87" s="318"/>
      <c r="H87" s="3532" t="s">
        <v>4572</v>
      </c>
      <c r="I87" s="3533"/>
      <c r="J87" s="3533"/>
      <c r="K87" s="3533"/>
      <c r="L87" s="3533"/>
      <c r="M87" s="3533"/>
      <c r="N87" s="3534"/>
      <c r="O87" s="1559" t="s">
        <v>1760</v>
      </c>
      <c r="Q87" s="3532" t="s">
        <v>4578</v>
      </c>
      <c r="R87" s="3533"/>
      <c r="S87" s="3534"/>
    </row>
    <row r="88" spans="2:19" s="305" customFormat="1" ht="11.25" customHeight="1">
      <c r="D88" s="348"/>
      <c r="E88" s="310" t="s">
        <v>624</v>
      </c>
      <c r="H88" s="3532" t="s">
        <v>2544</v>
      </c>
      <c r="I88" s="3533"/>
      <c r="J88" s="3534"/>
      <c r="K88" s="1561" t="s">
        <v>2721</v>
      </c>
      <c r="L88" s="3532" t="s">
        <v>4579</v>
      </c>
      <c r="M88" s="3533"/>
      <c r="N88" s="3534"/>
      <c r="O88" s="1559" t="s">
        <v>1734</v>
      </c>
      <c r="Q88" s="3535">
        <v>5734432021</v>
      </c>
      <c r="R88" s="3536"/>
      <c r="S88" s="3537"/>
    </row>
    <row r="89" spans="2:19" s="305" customFormat="1" ht="11.25" customHeight="1">
      <c r="E89" s="310" t="s">
        <v>1812</v>
      </c>
      <c r="H89" s="3538" t="s">
        <v>1353</v>
      </c>
      <c r="K89" s="1562" t="s">
        <v>2244</v>
      </c>
      <c r="L89" s="3539">
        <v>652030000</v>
      </c>
      <c r="M89" s="3540"/>
      <c r="O89" s="1559" t="s">
        <v>1994</v>
      </c>
      <c r="Q89" s="3535"/>
      <c r="R89" s="3536"/>
      <c r="S89" s="3537"/>
    </row>
    <row r="90" spans="2:19" s="305" customFormat="1" ht="11.25" customHeight="1">
      <c r="D90" s="348"/>
      <c r="E90" s="310" t="s">
        <v>4316</v>
      </c>
      <c r="H90" s="3535">
        <v>5734432021</v>
      </c>
      <c r="I90" s="3537"/>
      <c r="J90" s="3541"/>
      <c r="K90" s="1571" t="s">
        <v>1999</v>
      </c>
      <c r="L90" s="3527" t="s">
        <v>4580</v>
      </c>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4581</v>
      </c>
      <c r="I92" s="3533"/>
      <c r="J92" s="3533"/>
      <c r="K92" s="3533"/>
      <c r="L92" s="3533"/>
      <c r="M92" s="3533"/>
      <c r="N92" s="3534"/>
      <c r="O92" s="1559" t="s">
        <v>2004</v>
      </c>
      <c r="P92" s="1559"/>
      <c r="Q92" s="3532" t="s">
        <v>4582</v>
      </c>
      <c r="R92" s="3533"/>
      <c r="S92" s="3534"/>
    </row>
    <row r="93" spans="2:19" s="305" customFormat="1" ht="11.25" customHeight="1">
      <c r="D93" s="348"/>
      <c r="E93" s="310" t="s">
        <v>1031</v>
      </c>
      <c r="F93" s="318"/>
      <c r="H93" s="3532" t="s">
        <v>4583</v>
      </c>
      <c r="I93" s="3533"/>
      <c r="J93" s="3533"/>
      <c r="K93" s="3533"/>
      <c r="L93" s="3533"/>
      <c r="M93" s="3533"/>
      <c r="N93" s="3534"/>
      <c r="O93" s="1559" t="s">
        <v>1760</v>
      </c>
      <c r="Q93" s="3532" t="s">
        <v>4578</v>
      </c>
      <c r="R93" s="3533"/>
      <c r="S93" s="3534"/>
    </row>
    <row r="94" spans="2:19" s="305" customFormat="1" ht="11.25" customHeight="1">
      <c r="D94" s="348"/>
      <c r="E94" s="310" t="s">
        <v>624</v>
      </c>
      <c r="H94" s="3532" t="s">
        <v>1217</v>
      </c>
      <c r="I94" s="3533"/>
      <c r="J94" s="3534"/>
      <c r="K94" s="1561" t="s">
        <v>2721</v>
      </c>
      <c r="L94" s="3532" t="s">
        <v>4682</v>
      </c>
      <c r="M94" s="3533"/>
      <c r="N94" s="3534"/>
      <c r="O94" s="1559" t="s">
        <v>1734</v>
      </c>
      <c r="Q94" s="3535">
        <v>5734432021</v>
      </c>
      <c r="R94" s="3536"/>
      <c r="S94" s="3537"/>
    </row>
    <row r="95" spans="2:19" s="305" customFormat="1" ht="11.25" customHeight="1">
      <c r="D95" s="348"/>
      <c r="E95" s="310" t="s">
        <v>1812</v>
      </c>
      <c r="H95" s="3538" t="s">
        <v>856</v>
      </c>
      <c r="K95" s="1562" t="s">
        <v>2244</v>
      </c>
      <c r="L95" s="3539">
        <v>303270000</v>
      </c>
      <c r="M95" s="3540"/>
      <c r="O95" s="1559" t="s">
        <v>1994</v>
      </c>
      <c r="Q95" s="3535"/>
      <c r="R95" s="3536"/>
      <c r="S95" s="3537"/>
    </row>
    <row r="96" spans="2:19" s="305" customFormat="1" ht="11.25" customHeight="1">
      <c r="D96" s="348"/>
      <c r="E96" s="310" t="s">
        <v>4316</v>
      </c>
      <c r="H96" s="3535">
        <v>5734432021</v>
      </c>
      <c r="I96" s="3537"/>
      <c r="J96" s="3541"/>
      <c r="K96" s="1571" t="s">
        <v>1999</v>
      </c>
      <c r="L96" s="3527" t="s">
        <v>4584</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2130</v>
      </c>
      <c r="C98" s="307" t="s">
        <v>291</v>
      </c>
      <c r="H98" s="3532" t="s">
        <v>4585</v>
      </c>
      <c r="I98" s="3533"/>
      <c r="J98" s="3533"/>
      <c r="K98" s="3533"/>
      <c r="L98" s="3533"/>
      <c r="M98" s="3533"/>
      <c r="N98" s="3534"/>
      <c r="O98" s="1559" t="s">
        <v>2004</v>
      </c>
      <c r="P98" s="1559"/>
      <c r="Q98" s="3532" t="s">
        <v>4586</v>
      </c>
      <c r="R98" s="3533"/>
      <c r="S98" s="3534"/>
    </row>
    <row r="99" spans="2:19" s="305" customFormat="1" ht="11.25" customHeight="1">
      <c r="D99" s="348"/>
      <c r="E99" s="310" t="s">
        <v>1031</v>
      </c>
      <c r="F99" s="318"/>
      <c r="H99" s="3532" t="s">
        <v>4587</v>
      </c>
      <c r="I99" s="3533"/>
      <c r="J99" s="3533"/>
      <c r="K99" s="3533"/>
      <c r="L99" s="3533"/>
      <c r="M99" s="3533"/>
      <c r="N99" s="3534"/>
      <c r="O99" s="1559" t="s">
        <v>1760</v>
      </c>
      <c r="Q99" s="3532" t="s">
        <v>4588</v>
      </c>
      <c r="R99" s="3533"/>
      <c r="S99" s="3534"/>
    </row>
    <row r="100" spans="2:19" s="305" customFormat="1" ht="11.25" customHeight="1">
      <c r="D100" s="348"/>
      <c r="E100" s="310" t="s">
        <v>624</v>
      </c>
      <c r="H100" s="3532" t="s">
        <v>1709</v>
      </c>
      <c r="I100" s="3533"/>
      <c r="J100" s="3534"/>
      <c r="K100" s="1561" t="s">
        <v>2721</v>
      </c>
      <c r="L100" s="3532" t="s">
        <v>4589</v>
      </c>
      <c r="M100" s="3533"/>
      <c r="N100" s="3534"/>
      <c r="O100" s="1559" t="s">
        <v>1734</v>
      </c>
      <c r="Q100" s="3535">
        <v>2292427562</v>
      </c>
      <c r="R100" s="3536"/>
      <c r="S100" s="3537"/>
    </row>
    <row r="101" spans="2:19" s="305" customFormat="1" ht="11.25" customHeight="1">
      <c r="D101" s="348"/>
      <c r="E101" s="310" t="s">
        <v>1812</v>
      </c>
      <c r="H101" s="3538" t="s">
        <v>856</v>
      </c>
      <c r="K101" s="1562" t="s">
        <v>2244</v>
      </c>
      <c r="L101" s="3539">
        <v>316010000</v>
      </c>
      <c r="M101" s="3540"/>
      <c r="O101" s="1559" t="s">
        <v>1994</v>
      </c>
      <c r="Q101" s="3535"/>
      <c r="R101" s="3536"/>
      <c r="S101" s="3537"/>
    </row>
    <row r="102" spans="2:19" ht="11.25" customHeight="1">
      <c r="E102" s="310" t="s">
        <v>4316</v>
      </c>
      <c r="F102" s="305"/>
      <c r="G102" s="305"/>
      <c r="H102" s="3535">
        <v>2292427562</v>
      </c>
      <c r="I102" s="3537"/>
      <c r="J102" s="3541"/>
      <c r="K102" s="1571" t="s">
        <v>1999</v>
      </c>
      <c r="L102" s="3527" t="s">
        <v>4590</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4591</v>
      </c>
      <c r="I104" s="3533"/>
      <c r="J104" s="3533"/>
      <c r="K104" s="3533"/>
      <c r="L104" s="3533"/>
      <c r="M104" s="3533"/>
      <c r="N104" s="3534"/>
      <c r="O104" s="1559" t="s">
        <v>2004</v>
      </c>
      <c r="P104" s="1559"/>
      <c r="Q104" s="3532" t="s">
        <v>4592</v>
      </c>
      <c r="R104" s="3533"/>
      <c r="S104" s="3534"/>
    </row>
    <row r="105" spans="2:19" s="305" customFormat="1" ht="11.25" customHeight="1">
      <c r="D105" s="348"/>
      <c r="E105" s="310" t="s">
        <v>1031</v>
      </c>
      <c r="F105" s="318"/>
      <c r="H105" s="3532" t="s">
        <v>4596</v>
      </c>
      <c r="I105" s="3533"/>
      <c r="J105" s="3533"/>
      <c r="K105" s="3533"/>
      <c r="L105" s="3533"/>
      <c r="M105" s="3533"/>
      <c r="N105" s="3534"/>
      <c r="O105" s="1559" t="s">
        <v>1760</v>
      </c>
      <c r="Q105" s="3532" t="s">
        <v>4593</v>
      </c>
      <c r="R105" s="3533"/>
      <c r="S105" s="3534"/>
    </row>
    <row r="106" spans="2:19" s="305" customFormat="1" ht="11.25" customHeight="1">
      <c r="D106" s="348"/>
      <c r="E106" s="310" t="s">
        <v>624</v>
      </c>
      <c r="H106" s="3532" t="s">
        <v>2324</v>
      </c>
      <c r="I106" s="3533"/>
      <c r="J106" s="3534"/>
      <c r="K106" s="1561" t="s">
        <v>2721</v>
      </c>
      <c r="L106" s="3532" t="s">
        <v>4595</v>
      </c>
      <c r="M106" s="3533"/>
      <c r="N106" s="3534"/>
      <c r="O106" s="1559" t="s">
        <v>1734</v>
      </c>
      <c r="Q106" s="3535">
        <v>4702736610</v>
      </c>
      <c r="R106" s="3536"/>
      <c r="S106" s="3537"/>
    </row>
    <row r="107" spans="2:19" s="305" customFormat="1" ht="11.25" customHeight="1">
      <c r="D107" s="348"/>
      <c r="E107" s="310" t="s">
        <v>1812</v>
      </c>
      <c r="H107" s="3538" t="s">
        <v>856</v>
      </c>
      <c r="K107" s="1562" t="s">
        <v>2244</v>
      </c>
      <c r="L107" s="3539">
        <v>300240000</v>
      </c>
      <c r="M107" s="3540"/>
      <c r="O107" s="1559" t="s">
        <v>1994</v>
      </c>
      <c r="Q107" s="3535"/>
      <c r="R107" s="3536"/>
      <c r="S107" s="3537"/>
    </row>
    <row r="108" spans="2:19" ht="11.25" customHeight="1">
      <c r="E108" s="310" t="s">
        <v>4316</v>
      </c>
      <c r="F108" s="305"/>
      <c r="G108" s="305"/>
      <c r="H108" s="3535">
        <v>4702736610</v>
      </c>
      <c r="I108" s="3537"/>
      <c r="J108" s="3541"/>
      <c r="K108" s="1571" t="s">
        <v>1999</v>
      </c>
      <c r="L108" s="3527" t="s">
        <v>4597</v>
      </c>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4598</v>
      </c>
      <c r="I110" s="3533"/>
      <c r="J110" s="3533"/>
      <c r="K110" s="3533"/>
      <c r="L110" s="3533"/>
      <c r="M110" s="3533"/>
      <c r="N110" s="3534"/>
      <c r="O110" s="1559" t="s">
        <v>2004</v>
      </c>
      <c r="P110" s="1559"/>
      <c r="Q110" s="3532" t="s">
        <v>4599</v>
      </c>
      <c r="R110" s="3533"/>
      <c r="S110" s="3534"/>
    </row>
    <row r="111" spans="2:19" s="305" customFormat="1" ht="11.25" customHeight="1">
      <c r="D111" s="348"/>
      <c r="E111" s="310" t="s">
        <v>1031</v>
      </c>
      <c r="F111" s="318"/>
      <c r="H111" s="3532" t="s">
        <v>4600</v>
      </c>
      <c r="I111" s="3533"/>
      <c r="J111" s="3533"/>
      <c r="K111" s="3533"/>
      <c r="L111" s="3533"/>
      <c r="M111" s="3533"/>
      <c r="N111" s="3534"/>
      <c r="O111" s="1559" t="s">
        <v>1760</v>
      </c>
      <c r="Q111" s="3532" t="s">
        <v>4573</v>
      </c>
      <c r="R111" s="3533"/>
      <c r="S111" s="3534"/>
    </row>
    <row r="112" spans="2:19" s="305" customFormat="1" ht="11.25" customHeight="1">
      <c r="D112" s="348"/>
      <c r="E112" s="310" t="s">
        <v>624</v>
      </c>
      <c r="H112" s="3532" t="s">
        <v>198</v>
      </c>
      <c r="I112" s="3533"/>
      <c r="J112" s="3534"/>
      <c r="K112" s="1561" t="s">
        <v>2721</v>
      </c>
      <c r="L112" s="3532" t="s">
        <v>4601</v>
      </c>
      <c r="M112" s="3533"/>
      <c r="N112" s="3534"/>
      <c r="O112" s="1559" t="s">
        <v>1734</v>
      </c>
      <c r="Q112" s="3535">
        <v>4043732800</v>
      </c>
      <c r="R112" s="3536"/>
      <c r="S112" s="3537"/>
    </row>
    <row r="113" spans="1:22" s="305" customFormat="1" ht="11.25" customHeight="1">
      <c r="D113" s="352"/>
      <c r="E113" s="310" t="s">
        <v>1812</v>
      </c>
      <c r="H113" s="3538" t="s">
        <v>856</v>
      </c>
      <c r="K113" s="1562" t="s">
        <v>2244</v>
      </c>
      <c r="L113" s="3539">
        <v>300300000</v>
      </c>
      <c r="M113" s="3540"/>
      <c r="O113" s="1559" t="s">
        <v>1994</v>
      </c>
      <c r="Q113" s="3535"/>
      <c r="R113" s="3536"/>
      <c r="S113" s="3537"/>
    </row>
    <row r="114" spans="1:22" s="305" customFormat="1" ht="11.25" customHeight="1">
      <c r="D114" s="352"/>
      <c r="E114" s="310" t="s">
        <v>4316</v>
      </c>
      <c r="H114" s="3535">
        <v>4043732800</v>
      </c>
      <c r="I114" s="3537"/>
      <c r="J114" s="3541"/>
      <c r="K114" s="1571" t="s">
        <v>1999</v>
      </c>
      <c r="L114" s="3527" t="s">
        <v>4602</v>
      </c>
      <c r="M114" s="3528"/>
      <c r="N114" s="3528"/>
      <c r="O114" s="3528"/>
      <c r="P114" s="3528"/>
      <c r="Q114" s="3528"/>
      <c r="R114" s="3528"/>
      <c r="S114" s="3529"/>
    </row>
    <row r="115" spans="1:22" ht="3" customHeight="1"/>
    <row r="116" spans="1:22" s="305" customFormat="1" ht="12" customHeight="1">
      <c r="A116" s="307" t="s">
        <v>1805</v>
      </c>
      <c r="B116" s="307" t="s">
        <v>2619</v>
      </c>
      <c r="F116" s="307"/>
      <c r="G116" s="1571"/>
      <c r="H116" s="1571"/>
      <c r="I116" s="1571"/>
      <c r="J116" s="1571"/>
      <c r="K116" s="1571"/>
      <c r="L116" s="1571"/>
      <c r="M116" s="1571"/>
      <c r="N116" s="1571"/>
      <c r="O116" s="1571"/>
      <c r="P116" s="1571"/>
      <c r="Q116" s="1561"/>
    </row>
    <row r="117" spans="1:22" s="305" customFormat="1" ht="11.25" customHeight="1">
      <c r="B117" s="307" t="s">
        <v>1998</v>
      </c>
      <c r="C117" s="307" t="s">
        <v>3601</v>
      </c>
      <c r="H117" s="3515" t="s">
        <v>4603</v>
      </c>
      <c r="I117" s="3544"/>
      <c r="J117" s="3545"/>
      <c r="K117" s="1571" t="s">
        <v>2489</v>
      </c>
      <c r="L117" s="3532" t="s">
        <v>4604</v>
      </c>
      <c r="M117" s="3533"/>
      <c r="N117" s="3534"/>
      <c r="O117" s="310" t="s">
        <v>3602</v>
      </c>
      <c r="Q117" s="3532"/>
      <c r="R117" s="3533"/>
      <c r="S117" s="3534"/>
    </row>
    <row r="118" spans="1:22" s="305" customFormat="1" ht="11.25" customHeight="1">
      <c r="D118" s="348"/>
      <c r="E118" s="310" t="s">
        <v>1031</v>
      </c>
      <c r="F118" s="318"/>
      <c r="H118" s="3532" t="s">
        <v>4605</v>
      </c>
      <c r="I118" s="3533"/>
      <c r="J118" s="3533"/>
      <c r="K118" s="3533"/>
      <c r="L118" s="3533"/>
      <c r="M118" s="3533"/>
      <c r="N118" s="3534"/>
      <c r="O118" s="310" t="s">
        <v>624</v>
      </c>
      <c r="Q118" s="3532" t="s">
        <v>2110</v>
      </c>
      <c r="R118" s="3533"/>
      <c r="S118" s="3534"/>
    </row>
    <row r="119" spans="1:22" s="305" customFormat="1" ht="11.25" customHeight="1">
      <c r="D119" s="348"/>
      <c r="E119" s="310" t="s">
        <v>1812</v>
      </c>
      <c r="H119" s="3538" t="s">
        <v>856</v>
      </c>
      <c r="I119" s="1562" t="s">
        <v>2244</v>
      </c>
      <c r="J119" s="3546">
        <v>317680000</v>
      </c>
      <c r="K119" s="3534"/>
      <c r="L119" s="1571" t="s">
        <v>1999</v>
      </c>
      <c r="M119" s="3527" t="s">
        <v>4606</v>
      </c>
      <c r="N119" s="3528"/>
      <c r="O119" s="3528"/>
      <c r="P119" s="3528"/>
      <c r="Q119" s="3528"/>
      <c r="R119" s="3528"/>
      <c r="S119" s="3529"/>
    </row>
    <row r="120" spans="1:22" ht="12" customHeight="1">
      <c r="B120" s="307" t="s">
        <v>2000</v>
      </c>
      <c r="C120" s="307" t="s">
        <v>2852</v>
      </c>
      <c r="H120" s="1612"/>
      <c r="I120" s="1612"/>
      <c r="J120" s="1612"/>
      <c r="K120" s="1612"/>
      <c r="L120" s="1612"/>
      <c r="M120" s="1612"/>
      <c r="N120" s="1612"/>
      <c r="O120" s="1612"/>
      <c r="P120" s="1612"/>
      <c r="Q120" s="1612"/>
      <c r="R120" s="1612"/>
      <c r="S120" s="1612"/>
    </row>
    <row r="121" spans="1:22" ht="11.25" customHeight="1">
      <c r="A121" s="1690" t="s">
        <v>3911</v>
      </c>
      <c r="B121" s="1690"/>
      <c r="C121" s="1690"/>
      <c r="D121" s="1690"/>
      <c r="E121" s="1691"/>
      <c r="F121" s="3547" t="s">
        <v>2526</v>
      </c>
      <c r="G121" s="3548" t="s">
        <v>3500</v>
      </c>
      <c r="H121" s="3549"/>
      <c r="I121" s="3549"/>
      <c r="J121" s="3549"/>
      <c r="K121" s="3549"/>
      <c r="L121" s="3549"/>
      <c r="M121" s="3549"/>
      <c r="N121" s="3549"/>
      <c r="O121" s="3549"/>
      <c r="P121" s="3549"/>
      <c r="Q121" s="3549"/>
      <c r="R121" s="3549"/>
      <c r="S121" s="3550"/>
    </row>
    <row r="122" spans="1:22" s="305" customFormat="1" ht="31.5" customHeight="1">
      <c r="B122" s="521"/>
      <c r="C122" s="1195" t="s">
        <v>2001</v>
      </c>
      <c r="D122" s="1660" t="s">
        <v>2853</v>
      </c>
      <c r="E122" s="1692"/>
      <c r="F122" s="3551" t="s">
        <v>3012</v>
      </c>
      <c r="G122" s="3048"/>
      <c r="H122" s="3049"/>
      <c r="I122" s="3049"/>
      <c r="J122" s="3049"/>
      <c r="K122" s="3049"/>
      <c r="L122" s="3049"/>
      <c r="M122" s="3049"/>
      <c r="N122" s="3049"/>
      <c r="O122" s="3049"/>
      <c r="P122" s="3049"/>
      <c r="Q122" s="3049"/>
      <c r="R122" s="3049"/>
      <c r="S122" s="3050"/>
      <c r="U122" s="1696" t="s">
        <v>2046</v>
      </c>
      <c r="V122" s="1696"/>
    </row>
    <row r="123" spans="1:22" s="305" customFormat="1" ht="31.5" customHeight="1">
      <c r="B123" s="521"/>
      <c r="C123" s="647" t="s">
        <v>2003</v>
      </c>
      <c r="D123" s="1631" t="s">
        <v>2919</v>
      </c>
      <c r="E123" s="1689"/>
      <c r="F123" s="3552" t="s">
        <v>3012</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2550</v>
      </c>
      <c r="D124" s="1631" t="s">
        <v>2895</v>
      </c>
      <c r="E124" s="1689"/>
      <c r="F124" s="3552" t="s">
        <v>3012</v>
      </c>
      <c r="G124" s="3051"/>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2854</v>
      </c>
      <c r="E125" s="1689"/>
      <c r="F125" s="3552" t="s">
        <v>3012</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3487</v>
      </c>
      <c r="E126" s="1689"/>
      <c r="F126" s="3552" t="s">
        <v>3012</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1895</v>
      </c>
      <c r="D127" s="1631" t="s">
        <v>3488</v>
      </c>
      <c r="E127" s="1689"/>
      <c r="F127" s="3552" t="s">
        <v>3009</v>
      </c>
      <c r="G127" s="3051" t="s">
        <v>4607</v>
      </c>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2855</v>
      </c>
      <c r="E128" s="1689"/>
      <c r="F128" s="3552" t="s">
        <v>3012</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3" t="s">
        <v>4608</v>
      </c>
      <c r="E129" s="3554"/>
      <c r="F129" s="3555" t="s">
        <v>3009</v>
      </c>
      <c r="G129" s="3054" t="s">
        <v>4609</v>
      </c>
      <c r="H129" s="3055"/>
      <c r="I129" s="3055"/>
      <c r="J129" s="3055"/>
      <c r="K129" s="3055"/>
      <c r="L129" s="3055"/>
      <c r="M129" s="3055"/>
      <c r="N129" s="3055"/>
      <c r="O129" s="3055"/>
      <c r="P129" s="3055"/>
      <c r="Q129" s="3055"/>
      <c r="R129" s="3055"/>
      <c r="S129" s="3056"/>
    </row>
    <row r="130" spans="1:22" s="305" customFormat="1" ht="13.15" customHeight="1">
      <c r="A130" s="307" t="s">
        <v>1807</v>
      </c>
      <c r="B130" s="307" t="s">
        <v>2864</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2856</v>
      </c>
    </row>
    <row r="133" spans="1:22" s="305" customFormat="1" ht="13.5" customHeight="1">
      <c r="A133" s="1659" t="s">
        <v>646</v>
      </c>
      <c r="B133" s="1660"/>
      <c r="C133" s="1660"/>
      <c r="D133" s="1660"/>
      <c r="E133" s="1664" t="s">
        <v>3468</v>
      </c>
      <c r="F133" s="1665"/>
      <c r="G133" s="1665"/>
      <c r="H133" s="1665"/>
      <c r="I133" s="1666"/>
      <c r="J133" s="1670" t="s">
        <v>3469</v>
      </c>
      <c r="K133" s="1673" t="s">
        <v>2926</v>
      </c>
      <c r="L133" s="1673" t="s">
        <v>2927</v>
      </c>
      <c r="M133" s="1676" t="s">
        <v>3479</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2526</v>
      </c>
      <c r="J137" s="1672"/>
      <c r="K137" s="1675"/>
      <c r="L137" s="1674"/>
      <c r="M137" s="381" t="s">
        <v>2526</v>
      </c>
      <c r="N137" s="1636" t="s">
        <v>2925</v>
      </c>
      <c r="O137" s="1636"/>
      <c r="P137" s="1636"/>
      <c r="Q137" s="1636"/>
      <c r="R137" s="1636"/>
      <c r="S137" s="1688"/>
    </row>
    <row r="138" spans="1:22" s="305" customFormat="1" ht="24" customHeight="1">
      <c r="A138" s="1656" t="s">
        <v>3463</v>
      </c>
      <c r="B138" s="1657"/>
      <c r="C138" s="1657"/>
      <c r="D138" s="1658"/>
      <c r="E138" s="3048"/>
      <c r="F138" s="3049"/>
      <c r="G138" s="3049"/>
      <c r="H138" s="3049"/>
      <c r="I138" s="3556"/>
      <c r="J138" s="3551" t="s">
        <v>3012</v>
      </c>
      <c r="K138" s="3557" t="s">
        <v>4569</v>
      </c>
      <c r="L138" s="3558">
        <v>1E-4</v>
      </c>
      <c r="M138" s="3559" t="s">
        <v>3012</v>
      </c>
      <c r="N138" s="3560"/>
      <c r="O138" s="3049"/>
      <c r="P138" s="3049"/>
      <c r="Q138" s="3049"/>
      <c r="R138" s="3049"/>
      <c r="S138" s="3050"/>
    </row>
    <row r="139" spans="1:22" s="305" customFormat="1" ht="24" customHeight="1">
      <c r="A139" s="1650" t="s">
        <v>3464</v>
      </c>
      <c r="B139" s="1651"/>
      <c r="C139" s="1651"/>
      <c r="D139" s="1652"/>
      <c r="E139" s="3051"/>
      <c r="F139" s="3052"/>
      <c r="G139" s="3052"/>
      <c r="H139" s="3052"/>
      <c r="I139" s="3561"/>
      <c r="J139" s="3552"/>
      <c r="K139" s="3562"/>
      <c r="L139" s="3563"/>
      <c r="M139" s="3564"/>
      <c r="N139" s="3565"/>
      <c r="O139" s="3052"/>
      <c r="P139" s="3052"/>
      <c r="Q139" s="3052"/>
      <c r="R139" s="3052"/>
      <c r="S139" s="3053"/>
      <c r="U139" s="1696" t="s">
        <v>2046</v>
      </c>
      <c r="V139" s="1696"/>
    </row>
    <row r="140" spans="1:22" s="305" customFormat="1" ht="24" customHeight="1">
      <c r="A140" s="1650" t="s">
        <v>3465</v>
      </c>
      <c r="B140" s="1651"/>
      <c r="C140" s="1651"/>
      <c r="D140" s="1652"/>
      <c r="E140" s="3051"/>
      <c r="F140" s="3052"/>
      <c r="G140" s="3052"/>
      <c r="H140" s="3052"/>
      <c r="I140" s="3561"/>
      <c r="J140" s="3552"/>
      <c r="K140" s="3562"/>
      <c r="L140" s="3563"/>
      <c r="M140" s="3564"/>
      <c r="N140" s="3565"/>
      <c r="O140" s="3052"/>
      <c r="P140" s="3052"/>
      <c r="Q140" s="3052"/>
      <c r="R140" s="3052"/>
      <c r="S140" s="3053"/>
      <c r="U140" s="1696"/>
      <c r="V140" s="1696"/>
    </row>
    <row r="141" spans="1:22" s="305" customFormat="1" ht="24" customHeight="1">
      <c r="A141" s="1650" t="s">
        <v>3466</v>
      </c>
      <c r="B141" s="1651"/>
      <c r="C141" s="1651"/>
      <c r="D141" s="1652"/>
      <c r="E141" s="3051"/>
      <c r="F141" s="3052"/>
      <c r="G141" s="3052"/>
      <c r="H141" s="3052"/>
      <c r="I141" s="3561"/>
      <c r="J141" s="3552" t="s">
        <v>3012</v>
      </c>
      <c r="K141" s="3562" t="s">
        <v>4569</v>
      </c>
      <c r="L141" s="3563">
        <v>0.9899</v>
      </c>
      <c r="M141" s="3564" t="s">
        <v>3012</v>
      </c>
      <c r="N141" s="3565"/>
      <c r="O141" s="3052"/>
      <c r="P141" s="3052"/>
      <c r="Q141" s="3052"/>
      <c r="R141" s="3052"/>
      <c r="S141" s="3053"/>
      <c r="U141" s="1696"/>
      <c r="V141" s="1696"/>
    </row>
    <row r="142" spans="1:22" s="305" customFormat="1" ht="24" customHeight="1">
      <c r="A142" s="1650" t="s">
        <v>3467</v>
      </c>
      <c r="B142" s="1651"/>
      <c r="C142" s="1651"/>
      <c r="D142" s="1652"/>
      <c r="E142" s="3051"/>
      <c r="F142" s="3052"/>
      <c r="G142" s="3052"/>
      <c r="H142" s="3052"/>
      <c r="I142" s="3561"/>
      <c r="J142" s="3552" t="s">
        <v>3012</v>
      </c>
      <c r="K142" s="3562" t="s">
        <v>4569</v>
      </c>
      <c r="L142" s="3563">
        <v>0.01</v>
      </c>
      <c r="M142" s="3564" t="s">
        <v>3012</v>
      </c>
      <c r="N142" s="3565"/>
      <c r="O142" s="3052"/>
      <c r="P142" s="3052"/>
      <c r="Q142" s="3052"/>
      <c r="R142" s="3052"/>
      <c r="S142" s="3053"/>
      <c r="U142" s="1696"/>
      <c r="V142" s="1696"/>
    </row>
    <row r="143" spans="1:22" s="305" customFormat="1" ht="24" customHeight="1">
      <c r="A143" s="1650" t="s">
        <v>2912</v>
      </c>
      <c r="B143" s="1651"/>
      <c r="C143" s="1651"/>
      <c r="D143" s="1652"/>
      <c r="E143" s="3051"/>
      <c r="F143" s="3052"/>
      <c r="G143" s="3052"/>
      <c r="H143" s="3052"/>
      <c r="I143" s="3561"/>
      <c r="J143" s="3552"/>
      <c r="K143" s="3562"/>
      <c r="L143" s="3563"/>
      <c r="M143" s="3564"/>
      <c r="N143" s="3565"/>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61"/>
      <c r="J144" s="3552" t="s">
        <v>3012</v>
      </c>
      <c r="K144" s="3562" t="s">
        <v>4569</v>
      </c>
      <c r="L144" s="3563">
        <v>0</v>
      </c>
      <c r="M144" s="3564" t="s">
        <v>3012</v>
      </c>
      <c r="N144" s="3565"/>
      <c r="O144" s="3052"/>
      <c r="P144" s="3052"/>
      <c r="Q144" s="3052"/>
      <c r="R144" s="3052"/>
      <c r="S144" s="3053"/>
      <c r="U144" s="1696"/>
      <c r="V144" s="1696"/>
    </row>
    <row r="145" spans="1:24" s="305" customFormat="1" ht="24" customHeight="1">
      <c r="A145" s="1650" t="s">
        <v>2913</v>
      </c>
      <c r="B145" s="1651"/>
      <c r="C145" s="1651"/>
      <c r="D145" s="1652"/>
      <c r="E145" s="3051"/>
      <c r="F145" s="3052"/>
      <c r="G145" s="3052"/>
      <c r="H145" s="3052"/>
      <c r="I145" s="3561"/>
      <c r="J145" s="3552"/>
      <c r="K145" s="3562"/>
      <c r="L145" s="3563"/>
      <c r="M145" s="3564"/>
      <c r="N145" s="3565"/>
      <c r="O145" s="3052"/>
      <c r="P145" s="3052"/>
      <c r="Q145" s="3052"/>
      <c r="R145" s="3052"/>
      <c r="S145" s="3053"/>
    </row>
    <row r="146" spans="1:24" s="305" customFormat="1" ht="24" customHeight="1">
      <c r="A146" s="1650" t="s">
        <v>2914</v>
      </c>
      <c r="B146" s="1651"/>
      <c r="C146" s="1651"/>
      <c r="D146" s="1652"/>
      <c r="E146" s="3051"/>
      <c r="F146" s="3052"/>
      <c r="G146" s="3052"/>
      <c r="H146" s="3052"/>
      <c r="I146" s="3561"/>
      <c r="J146" s="3552"/>
      <c r="K146" s="3562"/>
      <c r="L146" s="3563"/>
      <c r="M146" s="3564"/>
      <c r="N146" s="3565"/>
      <c r="O146" s="3052"/>
      <c r="P146" s="3052"/>
      <c r="Q146" s="3052"/>
      <c r="R146" s="3052"/>
      <c r="S146" s="3053"/>
    </row>
    <row r="147" spans="1:24" s="305" customFormat="1" ht="24" customHeight="1">
      <c r="A147" s="1650" t="s">
        <v>2916</v>
      </c>
      <c r="B147" s="1651"/>
      <c r="C147" s="1651"/>
      <c r="D147" s="1652"/>
      <c r="E147" s="3051"/>
      <c r="F147" s="3052"/>
      <c r="G147" s="3052"/>
      <c r="H147" s="3052"/>
      <c r="I147" s="3561"/>
      <c r="J147" s="3552"/>
      <c r="K147" s="3562"/>
      <c r="L147" s="3563"/>
      <c r="M147" s="3564"/>
      <c r="N147" s="3565"/>
      <c r="O147" s="3052"/>
      <c r="P147" s="3052"/>
      <c r="Q147" s="3052"/>
      <c r="R147" s="3052"/>
      <c r="S147" s="3053"/>
    </row>
    <row r="148" spans="1:24" s="305" customFormat="1" ht="24" customHeight="1">
      <c r="A148" s="1650" t="s">
        <v>2915</v>
      </c>
      <c r="B148" s="1651"/>
      <c r="C148" s="1651"/>
      <c r="D148" s="1652"/>
      <c r="E148" s="3051"/>
      <c r="F148" s="3052"/>
      <c r="G148" s="3052"/>
      <c r="H148" s="3052"/>
      <c r="I148" s="3561"/>
      <c r="J148" s="3552"/>
      <c r="K148" s="3562"/>
      <c r="L148" s="3563"/>
      <c r="M148" s="3564"/>
      <c r="N148" s="3565"/>
      <c r="O148" s="3052"/>
      <c r="P148" s="3052"/>
      <c r="Q148" s="3052"/>
      <c r="R148" s="3052"/>
      <c r="S148" s="3053"/>
    </row>
    <row r="149" spans="1:24" s="305" customFormat="1" ht="24" customHeight="1">
      <c r="A149" s="1650" t="s">
        <v>1541</v>
      </c>
      <c r="B149" s="1651"/>
      <c r="C149" s="1651"/>
      <c r="D149" s="1652"/>
      <c r="E149" s="3051"/>
      <c r="F149" s="3052"/>
      <c r="G149" s="3052"/>
      <c r="H149" s="3052"/>
      <c r="I149" s="3561"/>
      <c r="J149" s="3552" t="s">
        <v>3012</v>
      </c>
      <c r="K149" s="3562" t="s">
        <v>4569</v>
      </c>
      <c r="L149" s="3563">
        <v>0</v>
      </c>
      <c r="M149" s="3564" t="s">
        <v>3012</v>
      </c>
      <c r="N149" s="3565"/>
      <c r="O149" s="3052"/>
      <c r="P149" s="3052"/>
      <c r="Q149" s="3052"/>
      <c r="R149" s="3052"/>
      <c r="S149" s="3053"/>
    </row>
    <row r="150" spans="1:24" s="305" customFormat="1" ht="24" customHeight="1">
      <c r="A150" s="1653" t="s">
        <v>2917</v>
      </c>
      <c r="B150" s="1654"/>
      <c r="C150" s="1654"/>
      <c r="D150" s="1655"/>
      <c r="E150" s="3054"/>
      <c r="F150" s="3055"/>
      <c r="G150" s="3055"/>
      <c r="H150" s="3055"/>
      <c r="I150" s="3566"/>
      <c r="J150" s="3555" t="s">
        <v>3012</v>
      </c>
      <c r="K150" s="3567" t="s">
        <v>4569</v>
      </c>
      <c r="L150" s="3568">
        <v>0</v>
      </c>
      <c r="M150" s="3569" t="s">
        <v>3012</v>
      </c>
      <c r="N150" s="3570"/>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c r="B153" s="3571"/>
      <c r="C153" s="3571"/>
      <c r="D153" s="3571"/>
      <c r="E153" s="3571"/>
      <c r="F153" s="3571"/>
      <c r="G153" s="3571"/>
      <c r="H153" s="3571"/>
      <c r="I153" s="3571"/>
      <c r="J153" s="3571"/>
      <c r="K153" s="3571"/>
      <c r="L153" s="3571"/>
      <c r="M153" s="3572"/>
      <c r="N153" s="3573"/>
      <c r="O153" s="3574"/>
      <c r="P153" s="3574"/>
      <c r="Q153" s="3574"/>
      <c r="R153" s="3574"/>
      <c r="S153" s="3575"/>
      <c r="T153" s="1619" t="s">
        <v>2709</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FB0J2Ek7C3aTV3T7gTIs/uATjfyRCMdzsNHXswz2+GGomfgXDBjMAVznK2HobPGW8s6ZeR3YoxFMzowmFy2YXQ==" saltValue="2pXQU1Zhwbe+EeABhJI9G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2018-030 Sparrow Pointe at Forest Hill, Moultrie, Colquitt County</v>
      </c>
      <c r="B1" s="1694"/>
      <c r="C1" s="1694"/>
      <c r="D1" s="1694"/>
      <c r="E1" s="1694"/>
      <c r="F1" s="1694"/>
      <c r="G1" s="1694"/>
      <c r="H1" s="1694"/>
      <c r="I1" s="1694"/>
      <c r="J1" s="1694"/>
      <c r="K1" s="1694"/>
      <c r="L1" s="1694"/>
      <c r="M1" s="1694"/>
      <c r="N1" s="1694"/>
      <c r="O1" s="1694"/>
      <c r="P1" s="1694"/>
      <c r="Q1" s="1695"/>
      <c r="S1" s="1736" t="str">
        <f>$A$1</f>
        <v>PART THREE - SOURCES OF FUNDS  -  2018-030 Sparrow Pointe at Forest Hill, Moultrie, Colquitt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2506</v>
      </c>
      <c r="C3" s="305"/>
      <c r="D3" s="1570"/>
      <c r="E3" s="1570"/>
      <c r="F3" s="1570"/>
      <c r="G3" s="1570"/>
      <c r="J3" s="1570"/>
      <c r="P3" s="1555" t="s">
        <v>4551</v>
      </c>
      <c r="S3" s="355" t="str">
        <f>B3</f>
        <v>GOVERNMENT FUNDING SOURCES  (check all that apply)</v>
      </c>
    </row>
    <row r="4" spans="1:20" s="278" customFormat="1" ht="15.75" customHeight="1">
      <c r="A4" s="333"/>
      <c r="B4" s="501"/>
      <c r="C4" s="327"/>
      <c r="D4" s="1570"/>
      <c r="E4" s="1570"/>
      <c r="F4" s="1570"/>
      <c r="G4" s="1570"/>
      <c r="S4" s="1724" t="s">
        <v>2699</v>
      </c>
      <c r="T4" s="1724"/>
    </row>
    <row r="5" spans="1:20" s="278" customFormat="1" ht="16.5" customHeight="1">
      <c r="A5" s="501"/>
      <c r="B5" s="3425" t="s">
        <v>3009</v>
      </c>
      <c r="C5" s="1559" t="s">
        <v>2425</v>
      </c>
      <c r="D5" s="305"/>
      <c r="H5" s="3425"/>
      <c r="I5" s="1559" t="s">
        <v>1549</v>
      </c>
      <c r="L5" s="3425"/>
      <c r="M5" s="305" t="s">
        <v>3918</v>
      </c>
      <c r="S5" s="3426"/>
      <c r="T5" s="3427"/>
    </row>
    <row r="6" spans="1:20" s="278" customFormat="1" ht="16.5" customHeight="1">
      <c r="A6" s="501"/>
      <c r="B6" s="3428"/>
      <c r="C6" s="1559" t="s">
        <v>555</v>
      </c>
      <c r="D6" s="305"/>
      <c r="H6" s="3428"/>
      <c r="I6" s="1559" t="s">
        <v>554</v>
      </c>
      <c r="L6" s="3428"/>
      <c r="M6" s="1559" t="s">
        <v>2617</v>
      </c>
      <c r="S6" s="3429"/>
      <c r="T6" s="3430"/>
    </row>
    <row r="7" spans="1:20" s="278" customFormat="1" ht="16.5" customHeight="1">
      <c r="A7" s="305"/>
      <c r="B7" s="3428"/>
      <c r="C7" s="1559" t="s">
        <v>3915</v>
      </c>
      <c r="F7" s="3431"/>
      <c r="G7" s="3432"/>
      <c r="H7" s="3428"/>
      <c r="I7" s="1559" t="s">
        <v>3705</v>
      </c>
      <c r="L7" s="3428"/>
      <c r="M7" s="1559" t="s">
        <v>2618</v>
      </c>
      <c r="S7" s="3429"/>
      <c r="T7" s="3430"/>
    </row>
    <row r="8" spans="1:20" s="278" customFormat="1" ht="16.5" customHeight="1">
      <c r="A8" s="501"/>
      <c r="B8" s="3428"/>
      <c r="C8" s="1559" t="s">
        <v>1816</v>
      </c>
      <c r="D8" s="305"/>
      <c r="H8" s="3428"/>
      <c r="I8" s="305" t="s">
        <v>2626</v>
      </c>
      <c r="L8" s="3428"/>
      <c r="M8" s="310" t="s">
        <v>3710</v>
      </c>
      <c r="S8" s="3433"/>
      <c r="T8" s="3434"/>
    </row>
    <row r="9" spans="1:20" s="278" customFormat="1" ht="16.5" customHeight="1">
      <c r="A9" s="501"/>
      <c r="B9" s="3428"/>
      <c r="C9" s="1559" t="s">
        <v>556</v>
      </c>
      <c r="H9" s="3428"/>
      <c r="I9" s="305" t="s">
        <v>2624</v>
      </c>
      <c r="L9" s="3428"/>
      <c r="M9" s="310" t="s">
        <v>2625</v>
      </c>
      <c r="S9" s="3426"/>
      <c r="T9" s="3427"/>
    </row>
    <row r="10" spans="1:20" s="278" customFormat="1" ht="16.5" customHeight="1">
      <c r="A10" s="501"/>
      <c r="B10" s="3428"/>
      <c r="C10" s="310" t="s">
        <v>3916</v>
      </c>
      <c r="G10" s="649"/>
      <c r="H10" s="3428"/>
      <c r="I10" s="305" t="s">
        <v>3746</v>
      </c>
      <c r="J10" s="1035"/>
      <c r="K10" s="1035"/>
      <c r="L10" s="3428"/>
      <c r="M10" s="310" t="s">
        <v>3748</v>
      </c>
      <c r="O10" s="3435" t="s">
        <v>3901</v>
      </c>
      <c r="P10" s="3436"/>
      <c r="Q10" s="3437"/>
      <c r="S10" s="3429"/>
      <c r="T10" s="3430"/>
    </row>
    <row r="11" spans="1:20" s="278" customFormat="1" ht="16.5" customHeight="1">
      <c r="A11" s="501"/>
      <c r="B11" s="3428"/>
      <c r="C11" s="1559" t="s">
        <v>3749</v>
      </c>
      <c r="D11" s="305"/>
      <c r="E11" s="3438"/>
      <c r="F11" s="3439"/>
      <c r="H11" s="3428"/>
      <c r="I11" s="305" t="s">
        <v>3751</v>
      </c>
      <c r="L11" s="3440"/>
      <c r="M11" s="305" t="s">
        <v>3644</v>
      </c>
      <c r="S11" s="3429"/>
      <c r="T11" s="3430"/>
    </row>
    <row r="12" spans="1:20" s="278" customFormat="1" ht="16.5" customHeight="1">
      <c r="A12" s="501"/>
      <c r="B12" s="3440"/>
      <c r="C12" s="1559" t="s">
        <v>3750</v>
      </c>
      <c r="E12" s="3441"/>
      <c r="F12" s="3442"/>
      <c r="H12" s="3428"/>
      <c r="I12" s="521" t="s">
        <v>2813</v>
      </c>
      <c r="J12" s="521"/>
      <c r="K12" s="521"/>
      <c r="L12" s="3443"/>
      <c r="M12" s="3444" t="s">
        <v>3712</v>
      </c>
      <c r="N12" s="3445"/>
      <c r="O12" s="3445"/>
      <c r="P12" s="3445"/>
      <c r="Q12" s="3446"/>
      <c r="S12" s="3433"/>
      <c r="T12" s="3434"/>
    </row>
    <row r="13" spans="1:20" s="278" customFormat="1" ht="16.5" customHeight="1">
      <c r="A13" s="501"/>
      <c r="C13" s="278" t="s">
        <v>3747</v>
      </c>
      <c r="E13" s="3435" t="s">
        <v>3470</v>
      </c>
      <c r="F13" s="3436"/>
      <c r="G13" s="3437"/>
      <c r="H13" s="3440"/>
      <c r="I13" s="310" t="s">
        <v>3917</v>
      </c>
      <c r="J13" s="521"/>
      <c r="K13" s="521"/>
      <c r="M13" s="3447" t="s">
        <v>3723</v>
      </c>
      <c r="N13" s="3448"/>
      <c r="O13" s="3448"/>
      <c r="P13" s="3448"/>
      <c r="Q13" s="3449"/>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2360</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1884</v>
      </c>
      <c r="C18" s="305"/>
      <c r="D18" s="305"/>
      <c r="E18" s="305"/>
      <c r="F18" s="305"/>
      <c r="G18" s="305"/>
      <c r="H18" s="1735" t="s">
        <v>1309</v>
      </c>
      <c r="I18" s="1735"/>
      <c r="J18" s="1735"/>
      <c r="K18" s="1735"/>
      <c r="L18" s="1637" t="s">
        <v>2005</v>
      </c>
      <c r="M18" s="1637"/>
      <c r="N18" s="1637" t="s">
        <v>1519</v>
      </c>
      <c r="O18" s="1637"/>
      <c r="P18" s="1637" t="s">
        <v>1643</v>
      </c>
      <c r="Q18" s="1637"/>
      <c r="S18" s="1724" t="s">
        <v>2699</v>
      </c>
      <c r="T18" s="1724"/>
    </row>
    <row r="19" spans="1:20" s="278" customFormat="1" ht="16.5" customHeight="1">
      <c r="A19" s="305"/>
      <c r="B19" s="1725" t="s">
        <v>1603</v>
      </c>
      <c r="C19" s="1726"/>
      <c r="D19" s="1726"/>
      <c r="E19" s="1568"/>
      <c r="F19" s="1568"/>
      <c r="G19" s="1568"/>
      <c r="H19" s="3450" t="s">
        <v>4610</v>
      </c>
      <c r="I19" s="3451"/>
      <c r="J19" s="3451"/>
      <c r="K19" s="3452"/>
      <c r="L19" s="3352">
        <v>6862941</v>
      </c>
      <c r="M19" s="3353"/>
      <c r="N19" s="3453">
        <v>5.7500000000000002E-2</v>
      </c>
      <c r="O19" s="3454"/>
      <c r="P19" s="3455">
        <v>18</v>
      </c>
      <c r="Q19" s="3456"/>
      <c r="S19" s="3426"/>
      <c r="T19" s="3427"/>
    </row>
    <row r="20" spans="1:20" s="278" customFormat="1" ht="16.5" customHeight="1">
      <c r="A20" s="305"/>
      <c r="B20" s="1707" t="s">
        <v>1604</v>
      </c>
      <c r="C20" s="1708"/>
      <c r="D20" s="1708"/>
      <c r="E20" s="1570"/>
      <c r="F20" s="1570"/>
      <c r="G20" s="1570"/>
      <c r="H20" s="3457"/>
      <c r="I20" s="3458"/>
      <c r="J20" s="3458"/>
      <c r="K20" s="3459"/>
      <c r="L20" s="3357"/>
      <c r="M20" s="3358"/>
      <c r="N20" s="3460"/>
      <c r="O20" s="3461"/>
      <c r="P20" s="3462"/>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2230</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4612</v>
      </c>
      <c r="I25" s="3458"/>
      <c r="J25" s="3458"/>
      <c r="K25" s="3459"/>
      <c r="L25" s="3357">
        <v>1413434</v>
      </c>
      <c r="M25" s="3358"/>
      <c r="N25" s="305"/>
      <c r="O25" s="305"/>
      <c r="P25" s="305"/>
      <c r="Q25" s="305"/>
      <c r="S25" s="3433"/>
      <c r="T25" s="3434"/>
    </row>
    <row r="26" spans="1:20" s="278" customFormat="1" ht="16.5" customHeight="1">
      <c r="A26" s="305"/>
      <c r="B26" s="1707" t="s">
        <v>811</v>
      </c>
      <c r="C26" s="1708"/>
      <c r="D26" s="1708"/>
      <c r="E26" s="1570"/>
      <c r="H26" s="3457" t="s">
        <v>4612</v>
      </c>
      <c r="I26" s="3458"/>
      <c r="J26" s="3458"/>
      <c r="K26" s="3459"/>
      <c r="L26" s="3357">
        <v>609280</v>
      </c>
      <c r="M26" s="3358"/>
      <c r="N26" s="305"/>
      <c r="Q26" s="305"/>
      <c r="S26" s="3426"/>
      <c r="T26" s="3427"/>
    </row>
    <row r="27" spans="1:20" s="278" customFormat="1" ht="16.5" customHeight="1">
      <c r="A27" s="305"/>
      <c r="B27" s="1569" t="s">
        <v>244</v>
      </c>
      <c r="C27" s="1570"/>
      <c r="D27" s="3476" t="s">
        <v>4611</v>
      </c>
      <c r="E27" s="3476"/>
      <c r="F27" s="3476"/>
      <c r="G27" s="3476"/>
      <c r="H27" s="3457"/>
      <c r="I27" s="3458"/>
      <c r="J27" s="3458"/>
      <c r="K27" s="3459"/>
      <c r="L27" s="3357">
        <v>110</v>
      </c>
      <c r="M27" s="3358"/>
      <c r="N27" s="305"/>
      <c r="Q27" s="305"/>
      <c r="S27" s="3429"/>
      <c r="T27" s="3430"/>
    </row>
    <row r="28" spans="1:20" s="278" customFormat="1" ht="16.5" customHeight="1">
      <c r="A28" s="305"/>
      <c r="B28" s="1569" t="s">
        <v>244</v>
      </c>
      <c r="C28" s="1570"/>
      <c r="D28" s="3477"/>
      <c r="E28" s="3477"/>
      <c r="F28" s="3477"/>
      <c r="G28" s="3477"/>
      <c r="H28" s="3457"/>
      <c r="I28" s="3458"/>
      <c r="J28" s="3458"/>
      <c r="K28" s="3459"/>
      <c r="L28" s="3357"/>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8885765</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8885765</v>
      </c>
      <c r="M31" s="3480"/>
      <c r="N31" s="900"/>
      <c r="S31" s="3429"/>
      <c r="T31" s="3430"/>
    </row>
    <row r="32" spans="1:20" s="278" customFormat="1" ht="16.5" customHeight="1">
      <c r="A32" s="305"/>
      <c r="B32" s="310" t="s">
        <v>2172</v>
      </c>
      <c r="C32" s="305"/>
      <c r="D32" s="305"/>
      <c r="E32" s="305"/>
      <c r="F32" s="305"/>
      <c r="G32" s="305"/>
      <c r="H32" s="305"/>
      <c r="I32" s="305"/>
      <c r="L32" s="1731">
        <f>L30-L31</f>
        <v>0</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2114</v>
      </c>
      <c r="L35" s="1571" t="s">
        <v>1307</v>
      </c>
      <c r="M35" s="1571" t="s">
        <v>1312</v>
      </c>
      <c r="N35" s="1723" t="s">
        <v>35</v>
      </c>
      <c r="O35" s="1723"/>
      <c r="P35" s="1571"/>
      <c r="Q35" s="307"/>
      <c r="S35" s="355"/>
    </row>
    <row r="36" spans="1:20" s="278" customFormat="1" ht="13.15" customHeight="1">
      <c r="A36" s="305"/>
      <c r="B36" s="1564" t="s">
        <v>1884</v>
      </c>
      <c r="C36" s="1567"/>
      <c r="D36" s="1567"/>
      <c r="E36" s="1620" t="s">
        <v>1309</v>
      </c>
      <c r="F36" s="1620"/>
      <c r="G36" s="1620"/>
      <c r="H36" s="1620"/>
      <c r="I36" s="1637" t="s">
        <v>493</v>
      </c>
      <c r="J36" s="1637"/>
      <c r="K36" s="1558" t="s">
        <v>1819</v>
      </c>
      <c r="L36" s="1558" t="s">
        <v>2229</v>
      </c>
      <c r="M36" s="1558" t="s">
        <v>2229</v>
      </c>
      <c r="N36" s="3481"/>
      <c r="O36" s="3481"/>
      <c r="P36" s="1637" t="s">
        <v>75</v>
      </c>
      <c r="Q36" s="1637"/>
      <c r="S36" s="1724" t="s">
        <v>2699</v>
      </c>
      <c r="T36" s="1724"/>
    </row>
    <row r="37" spans="1:20" s="278" customFormat="1" ht="14.25" customHeight="1">
      <c r="A37" s="305"/>
      <c r="B37" s="1725" t="s">
        <v>2630</v>
      </c>
      <c r="C37" s="1726"/>
      <c r="D37" s="1726"/>
      <c r="E37" s="3450"/>
      <c r="F37" s="3451"/>
      <c r="G37" s="3451"/>
      <c r="H37" s="3452"/>
      <c r="I37" s="3482"/>
      <c r="J37" s="3483"/>
      <c r="K37" s="3484"/>
      <c r="L37" s="3425"/>
      <c r="M37" s="3425"/>
      <c r="N37" s="3485" t="str">
        <f>IF(OR(I37&lt;=0,I37=""),"",IF(P37="Amortizing",-PMT(K37/12,M37*12,I37,0,0)*12,""))</f>
        <v/>
      </c>
      <c r="O37" s="3485"/>
      <c r="P37" s="3486"/>
      <c r="Q37" s="3486"/>
      <c r="S37" s="3426"/>
      <c r="T37" s="3427"/>
    </row>
    <row r="38" spans="1:20" s="278" customFormat="1" ht="14.25" customHeight="1">
      <c r="A38" s="305"/>
      <c r="B38" s="1707" t="s">
        <v>2631</v>
      </c>
      <c r="C38" s="1708"/>
      <c r="D38" s="1708"/>
      <c r="E38" s="3457"/>
      <c r="F38" s="3458"/>
      <c r="G38" s="3458"/>
      <c r="H38" s="3459"/>
      <c r="I38" s="3487"/>
      <c r="J38" s="3488"/>
      <c r="K38" s="3489"/>
      <c r="L38" s="3428"/>
      <c r="M38" s="3428"/>
      <c r="N38" s="3490" t="str">
        <f>IF(OR(I38&lt;=0,I38=""),"",IF(P38="Amortizing",-PMT(K38/12,M38*12,I38,0,0)*12,""))</f>
        <v/>
      </c>
      <c r="O38" s="3490"/>
      <c r="P38" s="3491"/>
      <c r="Q38" s="3491"/>
      <c r="S38" s="3429"/>
      <c r="T38" s="3430"/>
    </row>
    <row r="39" spans="1:20" s="278" customFormat="1" ht="14.25" customHeight="1">
      <c r="A39" s="305"/>
      <c r="B39" s="1707" t="s">
        <v>2632</v>
      </c>
      <c r="C39" s="1708"/>
      <c r="D39" s="1708"/>
      <c r="E39" s="3457"/>
      <c r="F39" s="3458"/>
      <c r="G39" s="3458"/>
      <c r="H39" s="3459"/>
      <c r="I39" s="3487"/>
      <c r="J39" s="3488"/>
      <c r="K39" s="3489"/>
      <c r="L39" s="3428"/>
      <c r="M39" s="3428"/>
      <c r="N39" s="3490" t="str">
        <f>IF(OR(I39&lt;=0,I39=""),"",IF(P39="Amortizing",-PMT(K39/12,M39*12,I39,0,0)*12,""))</f>
        <v/>
      </c>
      <c r="O39" s="3490"/>
      <c r="P39" s="3491"/>
      <c r="Q39" s="3491"/>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IF(OR(I40&lt;=0,I40=""),"",IF(P40="Amortizing",-PMT(K40/12,M40*12,I40,0,0)*12,""))</f>
        <v/>
      </c>
      <c r="O40" s="3495"/>
      <c r="P40" s="3496"/>
      <c r="Q40" s="3496"/>
      <c r="S40" s="3429"/>
      <c r="T40" s="3430"/>
    </row>
    <row r="41" spans="1:20" s="278" customFormat="1" ht="14.25" customHeight="1">
      <c r="A41" s="305"/>
      <c r="B41" s="1569" t="s">
        <v>2766</v>
      </c>
      <c r="C41" s="1570"/>
      <c r="D41" s="1575"/>
      <c r="E41" s="3457"/>
      <c r="F41" s="3458"/>
      <c r="G41" s="3458"/>
      <c r="H41" s="3459"/>
      <c r="I41" s="3487"/>
      <c r="J41" s="3488"/>
      <c r="K41" s="480"/>
      <c r="L41" s="1573"/>
      <c r="M41" s="1573"/>
      <c r="N41" s="1716" t="str">
        <f>IF(OR(I41&lt;=0,I41=""),"",IF(P41="Amortizing",-PMT(K41/12,M41*12,I41,0,0)*12,""))</f>
        <v/>
      </c>
      <c r="O41" s="1716"/>
      <c r="P41" s="1717"/>
      <c r="Q41" s="1717"/>
      <c r="S41" s="3429"/>
      <c r="T41" s="3430"/>
    </row>
    <row r="42" spans="1:20" s="278" customFormat="1" ht="14.25" customHeight="1">
      <c r="A42" s="305"/>
      <c r="B42" s="1566" t="s">
        <v>230</v>
      </c>
      <c r="C42" s="1567"/>
      <c r="D42" s="382">
        <f>IF(OR(I42="",I42=0,'Part IV-A-Uses of Funds'!$G$118="",'Part IV-A-Uses of Funds'!$G$118=0),"",I42/'Part IV-A-Uses of Funds'!$G$118)</f>
        <v>1.6593942373275185E-2</v>
      </c>
      <c r="E42" s="3464" t="s">
        <v>4554</v>
      </c>
      <c r="F42" s="3465"/>
      <c r="G42" s="3465"/>
      <c r="H42" s="3466"/>
      <c r="I42" s="3497">
        <v>20996</v>
      </c>
      <c r="J42" s="3498"/>
      <c r="K42" s="3499">
        <v>0</v>
      </c>
      <c r="L42" s="3443">
        <v>15</v>
      </c>
      <c r="M42" s="3443"/>
      <c r="N42" s="3500"/>
      <c r="O42" s="3501"/>
      <c r="P42" s="3502" t="s">
        <v>1175</v>
      </c>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4236</v>
      </c>
      <c r="C44" s="1570"/>
      <c r="E44" s="278" t="s">
        <v>4129</v>
      </c>
      <c r="F44" s="1714">
        <f>IF(OR($I$42="",$I$42=0,'Part VII-Pro Forma'!$S$33=0,'Part VII-Pro Forma'!$S$33=""),"",VLOOKUP($L$42,'Part VII-Pro Forma'!$Q$19:$S$38,3))</f>
        <v>658774.15516984905</v>
      </c>
      <c r="G44" s="1715"/>
      <c r="H44" s="649" t="s">
        <v>4235</v>
      </c>
      <c r="I44" s="1720">
        <f>IF(OR($I$42="",$I$42=0,'Part VII-Pro Forma'!$R$33=0,'Part VII-Pro Forma'!$R$33=""),"",VLOOKUP($L$42,'Part VII-Pro Forma'!$Q$19:$S$33,2))</f>
        <v>20996</v>
      </c>
      <c r="J44" s="1721"/>
      <c r="K44" s="3507"/>
      <c r="L44" s="1571"/>
      <c r="M44" s="1571"/>
      <c r="N44" s="1617"/>
      <c r="O44" s="1617"/>
      <c r="P44" s="1571"/>
      <c r="Q44" s="1571"/>
      <c r="S44" s="3505"/>
      <c r="T44" s="3506"/>
    </row>
    <row r="45" spans="1:20" s="278" customFormat="1" ht="14.25" customHeight="1">
      <c r="A45" s="305"/>
      <c r="B45" s="1165" t="s">
        <v>4295</v>
      </c>
      <c r="C45" s="1570"/>
      <c r="D45" s="1166"/>
      <c r="F45" s="3508">
        <f>I45</f>
        <v>3.1871317105004959E-2</v>
      </c>
      <c r="G45" s="3509"/>
      <c r="H45" s="649" t="s">
        <v>4237</v>
      </c>
      <c r="I45" s="1718">
        <f>IF(OR($F$44 = 0,$F$44 =""),"",$I$44/$F$44)</f>
        <v>3.1871317105004959E-2</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2230</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4612</v>
      </c>
      <c r="F49" s="3458"/>
      <c r="G49" s="3458"/>
      <c r="H49" s="3459"/>
      <c r="I49" s="3487">
        <v>7067172</v>
      </c>
      <c r="J49" s="3487"/>
      <c r="L49" s="1712">
        <f>'Part IV-A-Uses of Funds'!$J$175*10*'Part IV-A-Uses of Funds'!$N$168</f>
        <v>7140000</v>
      </c>
      <c r="M49" s="1712"/>
      <c r="N49" s="1713">
        <f>I49-L49</f>
        <v>-72828</v>
      </c>
      <c r="O49" s="1713"/>
      <c r="P49" s="414" t="s">
        <v>2576</v>
      </c>
      <c r="Q49" s="383"/>
      <c r="S49" s="3429"/>
      <c r="T49" s="3430"/>
    </row>
    <row r="50" spans="1:23" s="278" customFormat="1" ht="14.25" customHeight="1">
      <c r="A50" s="305"/>
      <c r="B50" s="1707" t="s">
        <v>811</v>
      </c>
      <c r="C50" s="1708"/>
      <c r="D50" s="1709"/>
      <c r="E50" s="3457" t="s">
        <v>4612</v>
      </c>
      <c r="F50" s="3458"/>
      <c r="G50" s="3458"/>
      <c r="H50" s="3459"/>
      <c r="I50" s="3487">
        <v>3046400</v>
      </c>
      <c r="J50" s="3487"/>
      <c r="L50" s="1712">
        <f>'Part IV-A-Uses of Funds'!$J$175*10*'Part IV-A-Uses of Funds'!$Q$168</f>
        <v>2975000</v>
      </c>
      <c r="M50" s="1712"/>
      <c r="N50" s="1713">
        <f>I50-L50</f>
        <v>71400</v>
      </c>
      <c r="O50" s="1713"/>
      <c r="P50" s="415">
        <f>I49/I59</f>
        <v>0.69732575618090675</v>
      </c>
      <c r="Q50" s="383"/>
      <c r="S50" s="3429"/>
      <c r="T50" s="3430"/>
    </row>
    <row r="51" spans="1:23" s="278" customFormat="1" ht="14.25" customHeight="1">
      <c r="A51" s="305"/>
      <c r="B51" s="1707" t="s">
        <v>1422</v>
      </c>
      <c r="C51" s="1708"/>
      <c r="D51" s="1709"/>
      <c r="E51" s="3457"/>
      <c r="F51" s="3458"/>
      <c r="G51" s="3458"/>
      <c r="H51" s="3459"/>
      <c r="I51" s="3487"/>
      <c r="J51" s="3487"/>
      <c r="P51" s="415">
        <f>I50/I59</f>
        <v>0.30059169122097418</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0.99791744740188093</v>
      </c>
      <c r="Q52" s="383"/>
      <c r="S52" s="3429"/>
      <c r="T52" s="3430"/>
    </row>
    <row r="53" spans="1:23" s="278" customFormat="1" ht="14.25" customHeight="1">
      <c r="A53" s="305"/>
      <c r="B53" s="1569" t="s">
        <v>1882</v>
      </c>
      <c r="C53" s="1570"/>
      <c r="D53" s="1575"/>
      <c r="E53" s="3457"/>
      <c r="F53" s="3458"/>
      <c r="G53" s="3458"/>
      <c r="H53" s="3459"/>
      <c r="I53" s="3487"/>
      <c r="J53" s="3487"/>
      <c r="N53" s="384"/>
      <c r="O53" s="384"/>
      <c r="P53" s="384"/>
      <c r="Q53" s="383"/>
      <c r="S53" s="3429"/>
      <c r="T53" s="3430"/>
    </row>
    <row r="54" spans="1:23" s="278" customFormat="1" ht="14.25" customHeight="1">
      <c r="A54" s="305"/>
      <c r="B54" s="1569" t="s">
        <v>1883</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t="s">
        <v>4611</v>
      </c>
      <c r="D55" s="3476"/>
      <c r="E55" s="3457"/>
      <c r="F55" s="3458"/>
      <c r="G55" s="3458"/>
      <c r="H55" s="3459"/>
      <c r="I55" s="3487">
        <v>110</v>
      </c>
      <c r="J55" s="3487"/>
      <c r="M55" s="384"/>
      <c r="N55" s="384"/>
      <c r="O55" s="384"/>
      <c r="P55" s="384"/>
      <c r="Q55" s="383"/>
      <c r="S55" s="3429"/>
      <c r="T55" s="3430"/>
    </row>
    <row r="56" spans="1:23" s="278" customFormat="1" ht="14.25" customHeight="1">
      <c r="A56" s="305"/>
      <c r="B56" s="1569"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66"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9" t="s">
        <v>2231</v>
      </c>
      <c r="C58" s="305"/>
      <c r="D58" s="305"/>
      <c r="E58" s="305"/>
      <c r="F58" s="305"/>
      <c r="G58" s="305"/>
      <c r="I58" s="1698">
        <f>SUM(I37:J42)+SUM(I47:J57)</f>
        <v>10134678</v>
      </c>
      <c r="J58" s="1699"/>
      <c r="K58" s="305"/>
      <c r="L58" s="385"/>
      <c r="M58" s="384"/>
      <c r="N58" s="384"/>
      <c r="O58" s="384"/>
      <c r="P58" s="384"/>
      <c r="Q58" s="383"/>
      <c r="S58" s="3429"/>
      <c r="T58" s="3430"/>
    </row>
    <row r="59" spans="1:23" s="278" customFormat="1" ht="14.25" customHeight="1" thickBot="1">
      <c r="A59" s="305"/>
      <c r="B59" s="1559" t="s">
        <v>2232</v>
      </c>
      <c r="C59" s="305"/>
      <c r="D59" s="305"/>
      <c r="E59" s="305"/>
      <c r="F59" s="305"/>
      <c r="G59" s="305"/>
      <c r="I59" s="1700">
        <f>'Part IV-A-Uses of Funds'!$G$132</f>
        <v>10134678</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3"/>
      <c r="T60" s="3434"/>
    </row>
    <row r="61" spans="1:23" s="278" customFormat="1" ht="13.15" customHeight="1">
      <c r="A61" s="305" t="s">
        <v>3489</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c r="B64" s="3312"/>
      <c r="C64" s="3312"/>
      <c r="D64" s="3312"/>
      <c r="E64" s="3312"/>
      <c r="F64" s="3312"/>
      <c r="G64" s="3312"/>
      <c r="H64" s="3312"/>
      <c r="I64" s="3312"/>
      <c r="J64" s="3312"/>
      <c r="K64" s="3312"/>
      <c r="L64" s="3312"/>
      <c r="M64" s="3313"/>
      <c r="N64" s="3313"/>
      <c r="O64" s="3313"/>
      <c r="P64" s="3313"/>
      <c r="Q64" s="3313"/>
      <c r="S64" s="1697" t="s">
        <v>2709</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NR8DkYajWuqLeppkumC6O3c30FzUlhIAbqw2Wwd9Yyw1+aRY6n1T9PXuJLkpaSbqX14Ym2ecENgHNjCf1UqRgQ==" saltValue="CMQWwHsTILFEkpdB+o+6b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42" priority="3" stopIfTrue="1" operator="equal">
      <formula>"Make a selection FIRST --&gt;"</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510</v>
      </c>
      <c r="C6" s="269">
        <v>0</v>
      </c>
      <c r="D6" s="121" t="s">
        <v>511</v>
      </c>
      <c r="E6" s="34"/>
    </row>
    <row r="7" spans="1:17">
      <c r="A7" s="34"/>
      <c r="B7" s="223" t="s">
        <v>2494</v>
      </c>
      <c r="C7" s="270"/>
      <c r="D7" s="121" t="s">
        <v>1676</v>
      </c>
      <c r="E7" s="34"/>
    </row>
    <row r="8" spans="1:17" ht="13.15" customHeight="1">
      <c r="A8" s="34" t="s">
        <v>2482</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2495</v>
      </c>
      <c r="B16" s="214" t="s">
        <v>2492</v>
      </c>
      <c r="C16" s="214" t="s">
        <v>2493</v>
      </c>
      <c r="D16" s="1743" t="s">
        <v>2269</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2486</v>
      </c>
      <c r="B59" s="1745"/>
      <c r="C59" s="1745"/>
      <c r="D59" s="1745"/>
      <c r="E59" s="1745"/>
      <c r="F59" s="1745"/>
      <c r="G59" s="1745" t="s">
        <v>2486</v>
      </c>
      <c r="H59" s="1745"/>
      <c r="I59" s="1745"/>
      <c r="J59" s="1745"/>
      <c r="K59" s="1745"/>
      <c r="L59" s="1745"/>
    </row>
    <row r="60" spans="1:12" ht="6" customHeight="1">
      <c r="C60" s="198"/>
      <c r="D60" s="198"/>
      <c r="I60" s="198"/>
      <c r="J60" s="198"/>
    </row>
    <row r="61" spans="1:12">
      <c r="A61" s="201" t="s">
        <v>2487</v>
      </c>
      <c r="B61" s="202" t="s">
        <v>2488</v>
      </c>
      <c r="C61" s="202" t="s">
        <v>1306</v>
      </c>
      <c r="D61" s="202" t="s">
        <v>2489</v>
      </c>
      <c r="E61" s="201" t="s">
        <v>2490</v>
      </c>
      <c r="F61" s="230" t="s">
        <v>2495</v>
      </c>
      <c r="G61" s="201" t="s">
        <v>2487</v>
      </c>
      <c r="H61" s="202" t="s">
        <v>2488</v>
      </c>
      <c r="I61" s="202" t="s">
        <v>1306</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2270</v>
      </c>
      <c r="D5" s="228"/>
      <c r="E5" s="1749" t="s">
        <v>965</v>
      </c>
      <c r="F5" s="1750"/>
      <c r="G5" s="165"/>
    </row>
    <row r="6" spans="1:17">
      <c r="E6" s="1750"/>
      <c r="F6" s="1750"/>
      <c r="G6" s="165"/>
    </row>
    <row r="7" spans="1:17">
      <c r="A7" s="28" t="s">
        <v>2478</v>
      </c>
      <c r="C7" s="28" t="s">
        <v>2479</v>
      </c>
      <c r="D7" s="229"/>
      <c r="E7" s="1750"/>
      <c r="F7" s="1750"/>
      <c r="G7" s="165"/>
    </row>
    <row r="8" spans="1:17">
      <c r="C8" s="28" t="s">
        <v>2480</v>
      </c>
      <c r="D8" s="229"/>
      <c r="E8" s="1750"/>
      <c r="F8" s="1750"/>
      <c r="G8" s="165"/>
    </row>
    <row r="9" spans="1:17">
      <c r="C9" s="28" t="s">
        <v>2481</v>
      </c>
      <c r="D9" s="229"/>
      <c r="E9" s="1750"/>
      <c r="F9" s="1750"/>
      <c r="G9" s="165"/>
    </row>
    <row r="10" spans="1:17">
      <c r="C10" s="28" t="s">
        <v>2494</v>
      </c>
      <c r="D10" s="234">
        <f>D7+D8+D9</f>
        <v>0</v>
      </c>
      <c r="E10" s="1750"/>
      <c r="F10" s="1750"/>
      <c r="G10" s="165"/>
    </row>
    <row r="11" spans="1:17">
      <c r="F11" s="165"/>
      <c r="G11" s="165"/>
    </row>
    <row r="12" spans="1:17">
      <c r="A12" s="28" t="s">
        <v>1729</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2269</v>
      </c>
      <c r="D26" s="232"/>
      <c r="E26" s="83"/>
      <c r="F26" s="1751" t="s">
        <v>2269</v>
      </c>
      <c r="J26" s="237"/>
    </row>
    <row r="27" spans="1:10">
      <c r="A27" s="238" t="s">
        <v>2495</v>
      </c>
      <c r="B27" s="74" t="s">
        <v>1036</v>
      </c>
      <c r="C27" s="1752"/>
      <c r="D27" s="239" t="s">
        <v>2495</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2486</v>
      </c>
      <c r="B51" s="1745"/>
      <c r="C51" s="1745"/>
      <c r="D51" s="1745"/>
      <c r="E51" s="1745"/>
      <c r="F51" s="1745"/>
      <c r="G51" s="249"/>
      <c r="H51" s="249"/>
      <c r="I51" s="249"/>
      <c r="J51" s="249"/>
    </row>
    <row r="52" spans="1:10" ht="5.45" customHeight="1">
      <c r="C52" s="198"/>
      <c r="D52" s="198"/>
      <c r="G52" s="203"/>
      <c r="H52" s="197"/>
      <c r="I52" s="203"/>
    </row>
    <row r="53" spans="1:10">
      <c r="A53" s="201" t="s">
        <v>2487</v>
      </c>
      <c r="B53" s="201" t="s">
        <v>2488</v>
      </c>
      <c r="C53" s="201" t="s">
        <v>1306</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3"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2018-030 Sparrow Pointe at Forest Hill, Moultrie, Colquitt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2018-030 Sparrow Pointe at Forest Hill, Moultrie, Colquitt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2015</v>
      </c>
      <c r="G8" s="3352">
        <v>2500</v>
      </c>
      <c r="H8" s="3353"/>
      <c r="J8" s="3352">
        <v>2500</v>
      </c>
      <c r="K8" s="3353"/>
      <c r="L8" s="1580"/>
      <c r="M8" s="3352"/>
      <c r="N8" s="3353"/>
      <c r="P8" s="3352"/>
      <c r="Q8" s="3353"/>
      <c r="S8" s="3352"/>
      <c r="T8" s="3353"/>
      <c r="V8" s="3354"/>
      <c r="W8" s="3355"/>
      <c r="X8" s="3356"/>
    </row>
    <row r="9" spans="1:24" s="305" customFormat="1" ht="12.6" customHeight="1">
      <c r="B9" s="305" t="s">
        <v>461</v>
      </c>
      <c r="G9" s="3357">
        <v>8000</v>
      </c>
      <c r="H9" s="3358"/>
      <c r="J9" s="3357">
        <v>8000</v>
      </c>
      <c r="K9" s="3358"/>
      <c r="L9" s="1580"/>
      <c r="M9" s="3357"/>
      <c r="N9" s="3358"/>
      <c r="P9" s="3357"/>
      <c r="Q9" s="3358"/>
      <c r="S9" s="3357"/>
      <c r="T9" s="3358"/>
      <c r="V9" s="3354"/>
      <c r="W9" s="3355"/>
      <c r="X9" s="3356"/>
    </row>
    <row r="10" spans="1:24" s="305" customFormat="1" ht="12.6" customHeight="1">
      <c r="B10" s="305" t="s">
        <v>491</v>
      </c>
      <c r="G10" s="3357">
        <v>6500</v>
      </c>
      <c r="H10" s="3358"/>
      <c r="J10" s="3357">
        <v>6500</v>
      </c>
      <c r="K10" s="3358"/>
      <c r="L10" s="1580"/>
      <c r="M10" s="3357"/>
      <c r="N10" s="3358"/>
      <c r="P10" s="3357"/>
      <c r="Q10" s="3358"/>
      <c r="S10" s="3357"/>
      <c r="T10" s="3358"/>
      <c r="V10" s="3354"/>
      <c r="W10" s="3355"/>
      <c r="X10" s="3356"/>
    </row>
    <row r="11" spans="1:24" s="305" customFormat="1" ht="12.6" customHeight="1">
      <c r="B11" s="305" t="s">
        <v>492</v>
      </c>
      <c r="G11" s="3357">
        <v>7500</v>
      </c>
      <c r="H11" s="3358"/>
      <c r="J11" s="3357">
        <v>7500</v>
      </c>
      <c r="K11" s="3358"/>
      <c r="L11" s="1580"/>
      <c r="M11" s="3357"/>
      <c r="N11" s="3358"/>
      <c r="P11" s="3357"/>
      <c r="Q11" s="3358"/>
      <c r="S11" s="3357"/>
      <c r="T11" s="3358"/>
      <c r="V11" s="3354"/>
      <c r="W11" s="3355"/>
      <c r="X11" s="3356"/>
    </row>
    <row r="12" spans="1:24" s="305" customFormat="1" ht="12.6" customHeight="1">
      <c r="B12" s="305" t="s">
        <v>2515</v>
      </c>
      <c r="G12" s="3357">
        <v>15000</v>
      </c>
      <c r="H12" s="3358"/>
      <c r="J12" s="3357">
        <v>15000</v>
      </c>
      <c r="K12" s="3358"/>
      <c r="L12" s="1580"/>
      <c r="M12" s="3357"/>
      <c r="N12" s="3358"/>
      <c r="P12" s="3357"/>
      <c r="Q12" s="3358"/>
      <c r="S12" s="3357"/>
      <c r="T12" s="3358"/>
      <c r="V12" s="3354"/>
      <c r="W12" s="3355"/>
      <c r="X12" s="3356"/>
    </row>
    <row r="13" spans="1:24" s="305" customFormat="1" ht="12.6" customHeight="1">
      <c r="B13" s="305" t="s">
        <v>192</v>
      </c>
      <c r="G13" s="3357"/>
      <c r="H13" s="3358"/>
      <c r="J13" s="3357"/>
      <c r="K13" s="3358"/>
      <c r="L13" s="1580"/>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3738</v>
      </c>
      <c r="D14" s="3359"/>
      <c r="E14" s="3359"/>
      <c r="F14" s="3360"/>
      <c r="G14" s="3357"/>
      <c r="H14" s="3358"/>
      <c r="J14" s="3357"/>
      <c r="K14" s="3358"/>
      <c r="L14" s="1580"/>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3738</v>
      </c>
      <c r="D15" s="3359"/>
      <c r="E15" s="3359"/>
      <c r="F15" s="3360"/>
      <c r="G15" s="3357"/>
      <c r="H15" s="3358"/>
      <c r="J15" s="3357"/>
      <c r="K15" s="3358"/>
      <c r="L15" s="1580"/>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3738</v>
      </c>
      <c r="D16" s="3359"/>
      <c r="E16" s="3359"/>
      <c r="F16" s="3360"/>
      <c r="G16" s="3362"/>
      <c r="H16" s="3363"/>
      <c r="J16" s="3362"/>
      <c r="K16" s="3363"/>
      <c r="L16" s="1580"/>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39500</v>
      </c>
      <c r="H17" s="1801"/>
      <c r="J17" s="1800">
        <f>SUM(J8:K16)</f>
        <v>39500</v>
      </c>
      <c r="K17" s="1826"/>
      <c r="L17" s="1580"/>
      <c r="M17" s="1800">
        <f>SUM(M8:N16)</f>
        <v>0</v>
      </c>
      <c r="N17" s="1801"/>
      <c r="P17" s="1800">
        <f>SUM(P8:Q16)</f>
        <v>0</v>
      </c>
      <c r="Q17" s="1801"/>
      <c r="S17" s="1800">
        <f>SUM(S8:T16)</f>
        <v>0</v>
      </c>
      <c r="T17" s="1801"/>
      <c r="V17" s="3366">
        <f>SUM(V8:V16)</f>
        <v>0</v>
      </c>
      <c r="W17" s="3367"/>
      <c r="X17" s="3368"/>
    </row>
    <row r="18" spans="2:24" s="305" customFormat="1" ht="12" customHeight="1">
      <c r="B18" s="307" t="s">
        <v>2212</v>
      </c>
      <c r="J18" s="360"/>
      <c r="K18" s="360"/>
      <c r="M18" s="360"/>
      <c r="N18" s="360"/>
      <c r="O18" s="362" t="str">
        <f>B18</f>
        <v>ACQUISITION</v>
      </c>
      <c r="P18" s="360"/>
      <c r="Q18" s="360"/>
      <c r="S18" s="360"/>
      <c r="T18" s="360"/>
      <c r="V18" s="1176"/>
      <c r="W18" s="305" t="str">
        <f>B18</f>
        <v>ACQUISITION</v>
      </c>
    </row>
    <row r="19" spans="2:24" s="305" customFormat="1" ht="12.6" customHeight="1">
      <c r="B19" s="305" t="s">
        <v>2213</v>
      </c>
      <c r="G19" s="3352">
        <v>275000</v>
      </c>
      <c r="H19" s="3353"/>
      <c r="J19" s="363"/>
      <c r="K19" s="360"/>
      <c r="L19" s="363"/>
      <c r="M19" s="363"/>
      <c r="N19" s="360"/>
      <c r="P19" s="363"/>
      <c r="Q19" s="360"/>
      <c r="S19" s="3352">
        <v>275000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0">
        <f>SUM(G19:H22)</f>
        <v>275000</v>
      </c>
      <c r="H23" s="1801"/>
      <c r="J23" s="363"/>
      <c r="K23" s="360"/>
      <c r="L23" s="363"/>
      <c r="M23" s="1800">
        <f>SUM(M21:N22)</f>
        <v>0</v>
      </c>
      <c r="N23" s="1801"/>
      <c r="P23" s="363"/>
      <c r="Q23" s="360"/>
      <c r="S23" s="1800">
        <f>SUM(S19:T22)</f>
        <v>275000</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154671.93195625758</v>
      </c>
      <c r="G25" s="3352">
        <v>1272950</v>
      </c>
      <c r="H25" s="3353"/>
      <c r="J25" s="3352">
        <v>1209303</v>
      </c>
      <c r="K25" s="3353"/>
      <c r="L25" s="1580"/>
      <c r="M25" s="3369"/>
      <c r="N25" s="3370"/>
      <c r="P25" s="3369"/>
      <c r="Q25" s="3370"/>
      <c r="S25" s="3352">
        <v>63648</v>
      </c>
      <c r="T25" s="3353"/>
      <c r="V25" s="3354"/>
      <c r="W25" s="3355"/>
      <c r="X25" s="3356"/>
    </row>
    <row r="26" spans="2:24" s="305" customFormat="1" ht="12.6" customHeight="1" thickBot="1">
      <c r="B26" s="305" t="s">
        <v>1132</v>
      </c>
      <c r="G26" s="3362">
        <v>50890</v>
      </c>
      <c r="H26" s="3363"/>
      <c r="J26" s="3362"/>
      <c r="K26" s="3363"/>
      <c r="L26" s="364"/>
      <c r="M26" s="1825"/>
      <c r="N26" s="1825"/>
      <c r="P26" s="1825"/>
      <c r="Q26" s="1825"/>
      <c r="S26" s="3362">
        <v>50890</v>
      </c>
      <c r="T26" s="3363"/>
      <c r="V26" s="3354"/>
      <c r="W26" s="3364"/>
      <c r="X26" s="3365"/>
    </row>
    <row r="27" spans="2:24" s="305" customFormat="1" ht="12.6" customHeight="1" thickTop="1">
      <c r="F27" s="361" t="s">
        <v>193</v>
      </c>
      <c r="G27" s="1800">
        <f>SUM(G25:H26)</f>
        <v>1323840</v>
      </c>
      <c r="H27" s="1801"/>
      <c r="J27" s="1800">
        <f>SUM(J25:K26)</f>
        <v>1209303</v>
      </c>
      <c r="K27" s="1801"/>
      <c r="L27" s="363"/>
      <c r="M27" s="1800">
        <f>M25</f>
        <v>0</v>
      </c>
      <c r="N27" s="1801"/>
      <c r="P27" s="1800">
        <f>P25</f>
        <v>0</v>
      </c>
      <c r="Q27" s="1801"/>
      <c r="S27" s="1800">
        <f>SUM(S25:T26)</f>
        <v>114538</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4861746</v>
      </c>
      <c r="H29" s="3353"/>
      <c r="J29" s="3352">
        <v>4861746</v>
      </c>
      <c r="K29" s="3353"/>
      <c r="L29" s="1580"/>
      <c r="M29" s="3352"/>
      <c r="N29" s="3353"/>
      <c r="P29" s="3352"/>
      <c r="Q29" s="3353"/>
      <c r="S29" s="3352"/>
      <c r="T29" s="3353"/>
      <c r="V29" s="3354"/>
      <c r="W29" s="3355"/>
      <c r="X29" s="3356"/>
    </row>
    <row r="30" spans="2:24" s="305" customFormat="1" ht="12.6" customHeight="1">
      <c r="B30" s="305" t="s">
        <v>1135</v>
      </c>
      <c r="G30" s="3357"/>
      <c r="H30" s="3358"/>
      <c r="J30" s="3357"/>
      <c r="K30" s="3358"/>
      <c r="L30" s="1580"/>
      <c r="M30" s="3357"/>
      <c r="N30" s="3358"/>
      <c r="P30" s="3357"/>
      <c r="Q30" s="3358"/>
      <c r="S30" s="3357"/>
      <c r="T30" s="3358"/>
      <c r="V30" s="3354"/>
      <c r="W30" s="3355"/>
      <c r="X30" s="3356"/>
    </row>
    <row r="31" spans="2:24" s="305" customFormat="1" ht="12.6" customHeight="1">
      <c r="B31" s="305" t="s">
        <v>2797</v>
      </c>
      <c r="G31" s="3357"/>
      <c r="H31" s="3358"/>
      <c r="J31" s="3357"/>
      <c r="K31" s="3358"/>
      <c r="L31" s="1580"/>
      <c r="M31" s="3357"/>
      <c r="N31" s="3358"/>
      <c r="P31" s="3357"/>
      <c r="Q31" s="3358"/>
      <c r="S31" s="3357"/>
      <c r="T31" s="3358"/>
      <c r="V31" s="3354"/>
      <c r="W31" s="3355"/>
      <c r="X31" s="3356"/>
    </row>
    <row r="32" spans="2:24" ht="12.6" customHeight="1" thickBot="1">
      <c r="B32" s="305" t="s">
        <v>2796</v>
      </c>
      <c r="G32" s="3362"/>
      <c r="H32" s="3363"/>
      <c r="I32" s="305"/>
      <c r="J32" s="3362"/>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4861746</v>
      </c>
      <c r="H33" s="1801"/>
      <c r="J33" s="1800">
        <f>SUM(J29:K32)</f>
        <v>4861746</v>
      </c>
      <c r="K33" s="1801"/>
      <c r="L33" s="1580"/>
      <c r="M33" s="1800">
        <f>SUM(M29:N32)</f>
        <v>0</v>
      </c>
      <c r="N33" s="1801"/>
      <c r="P33" s="1800">
        <f>SUM(P29:Q32)</f>
        <v>0</v>
      </c>
      <c r="Q33" s="1801"/>
      <c r="S33" s="1800">
        <f>SUM(S29:T32)</f>
        <v>0</v>
      </c>
      <c r="T33" s="1801"/>
      <c r="V33" s="3366">
        <f>SUM(V29:V32)</f>
        <v>0</v>
      </c>
      <c r="W33" s="3367"/>
      <c r="X33" s="3368"/>
    </row>
    <row r="34" spans="1:24" s="305" customFormat="1" ht="12" customHeight="1">
      <c r="B34" s="307" t="s">
        <v>2358</v>
      </c>
      <c r="D34" s="1823" t="s">
        <v>3758</v>
      </c>
      <c r="E34" s="1823"/>
      <c r="F34" s="1044">
        <f>SUM(F35:F37)</f>
        <v>0.13999983186718284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2359</v>
      </c>
      <c r="D35" s="1046">
        <f>'DCA Underwriting Assumptions'!$R$74</f>
        <v>0.06</v>
      </c>
      <c r="E35" s="1048">
        <f>D35*(G27+G33)</f>
        <v>371135.16</v>
      </c>
      <c r="F35" s="1045">
        <f>IF(($G$27+$G$33)=0,0,G35/($G$27+$G$33))</f>
        <v>5.9999974133412744E-2</v>
      </c>
      <c r="G35" s="3352">
        <v>371135</v>
      </c>
      <c r="H35" s="3353"/>
      <c r="I35" s="324"/>
      <c r="J35" s="3352">
        <v>371135</v>
      </c>
      <c r="K35" s="3353"/>
      <c r="L35" s="1580"/>
      <c r="M35" s="3352"/>
      <c r="N35" s="3353"/>
      <c r="P35" s="3352"/>
      <c r="Q35" s="3353"/>
      <c r="S35" s="3352"/>
      <c r="T35" s="3353"/>
      <c r="V35" s="3354"/>
      <c r="W35" s="3355"/>
      <c r="X35" s="3356"/>
    </row>
    <row r="36" spans="1:24" s="305" customFormat="1" ht="12.6" customHeight="1">
      <c r="B36" s="305" t="s">
        <v>2753</v>
      </c>
      <c r="D36" s="1047">
        <f>'DCA Underwriting Assumptions'!$R$75</f>
        <v>0.02</v>
      </c>
      <c r="E36" s="1048">
        <f>D36*(G27+G33)</f>
        <v>123711.72</v>
      </c>
      <c r="F36" s="1045">
        <f>IF(($G$27+$G$33)=0,0,G36/($G$27+$G$33))</f>
        <v>1.9999883600357347E-2</v>
      </c>
      <c r="G36" s="3357">
        <v>123711</v>
      </c>
      <c r="H36" s="3358"/>
      <c r="I36" s="324"/>
      <c r="J36" s="3357">
        <v>123711</v>
      </c>
      <c r="K36" s="3358"/>
      <c r="L36" s="1580"/>
      <c r="M36" s="3357"/>
      <c r="N36" s="3358"/>
      <c r="P36" s="3357"/>
      <c r="Q36" s="3358"/>
      <c r="S36" s="3357"/>
      <c r="T36" s="3358"/>
      <c r="V36" s="3354"/>
      <c r="W36" s="3355"/>
      <c r="X36" s="3356"/>
    </row>
    <row r="37" spans="1:24" s="305" customFormat="1" ht="12.6" customHeight="1" thickBot="1">
      <c r="B37" s="305" t="s">
        <v>2754</v>
      </c>
      <c r="D37" s="1051">
        <f>'DCA Underwriting Assumptions'!$R$76</f>
        <v>0.06</v>
      </c>
      <c r="E37" s="1052">
        <f>D37*(G27+G33)</f>
        <v>371135.16</v>
      </c>
      <c r="F37" s="1367">
        <f>IF(($G$27+$G$33)=0,0,G37/($G$27+$G$33))</f>
        <v>5.9999974133412744E-2</v>
      </c>
      <c r="G37" s="3362">
        <v>371135</v>
      </c>
      <c r="H37" s="3363"/>
      <c r="I37" s="324"/>
      <c r="J37" s="3362">
        <v>371135</v>
      </c>
      <c r="K37" s="3363"/>
      <c r="L37" s="1580"/>
      <c r="M37" s="3362"/>
      <c r="N37" s="3363"/>
      <c r="P37" s="3362"/>
      <c r="Q37" s="3363"/>
      <c r="S37" s="3362"/>
      <c r="T37" s="3363"/>
      <c r="V37" s="3354"/>
      <c r="W37" s="3364"/>
      <c r="X37" s="3365"/>
    </row>
    <row r="38" spans="1:24" s="305" customFormat="1" ht="12.6" customHeight="1" thickTop="1">
      <c r="B38" s="179" t="s">
        <v>3759</v>
      </c>
      <c r="D38" s="1049">
        <f>SUM(D35:D37)</f>
        <v>0.14000000000000001</v>
      </c>
      <c r="E38" s="1050">
        <f>SUM(E35:E37)</f>
        <v>865982.04</v>
      </c>
      <c r="F38" s="1031" t="s">
        <v>193</v>
      </c>
      <c r="G38" s="1800">
        <f>SUM(G35:H37)</f>
        <v>865981</v>
      </c>
      <c r="H38" s="1801"/>
      <c r="J38" s="1800">
        <f>SUM(J35:K37)</f>
        <v>865981</v>
      </c>
      <c r="K38" s="1801"/>
      <c r="L38" s="363"/>
      <c r="M38" s="1800">
        <f>SUM(M35:N37)</f>
        <v>0</v>
      </c>
      <c r="N38" s="1801"/>
      <c r="P38" s="1800">
        <f>SUM(P35:Q37)</f>
        <v>0</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3738</v>
      </c>
      <c r="D41" s="3371"/>
      <c r="E41" s="3371"/>
      <c r="F41" s="3372"/>
      <c r="G41" s="3373"/>
      <c r="H41" s="3374"/>
      <c r="I41" s="305"/>
      <c r="J41" s="3373"/>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2762</v>
      </c>
      <c r="C43" s="530"/>
      <c r="E43" s="1817" t="s">
        <v>2761</v>
      </c>
      <c r="F43" s="1578">
        <f>B44/'Part VI-Revenues &amp; Expenses'!$O$60</f>
        <v>141031.34</v>
      </c>
      <c r="G43" s="1579" t="s">
        <v>2788</v>
      </c>
      <c r="H43" s="1574"/>
      <c r="I43" s="1574"/>
      <c r="J43" s="1819">
        <f>B44/'Part VI-Revenues &amp; Expenses'!$O$62</f>
        <v>141031.34</v>
      </c>
      <c r="K43" s="1819"/>
      <c r="L43" s="1574"/>
      <c r="M43" s="1820" t="s">
        <v>1414</v>
      </c>
      <c r="N43" s="1820"/>
      <c r="O43" s="1574"/>
      <c r="P43" s="1819">
        <f>B44/'Part I-Project Information'!$P$71</f>
        <v>124.36626102292769</v>
      </c>
      <c r="Q43" s="1819"/>
      <c r="R43" s="1574"/>
      <c r="S43" s="1821" t="s">
        <v>2795</v>
      </c>
      <c r="T43" s="1822"/>
      <c r="V43" s="1176"/>
      <c r="W43" s="3377"/>
      <c r="X43" s="3378"/>
    </row>
    <row r="44" spans="1:24" s="305" customFormat="1" ht="12.6" customHeight="1">
      <c r="B44" s="1813">
        <f>G27+G33+G38+G41</f>
        <v>7051567</v>
      </c>
      <c r="C44" s="1814"/>
      <c r="E44" s="1818"/>
      <c r="F44" s="1577">
        <f>B44/'Part VI-Revenues &amp; Expenses'!$O$117</f>
        <v>128.91347349177332</v>
      </c>
      <c r="G44" s="528" t="s">
        <v>2789</v>
      </c>
      <c r="H44" s="1567"/>
      <c r="I44" s="1567"/>
      <c r="J44" s="1815">
        <f>B44/'Part VI-Revenues &amp; Expenses'!$O$119</f>
        <v>128.91347349177332</v>
      </c>
      <c r="K44" s="1815"/>
      <c r="L44" s="1567"/>
      <c r="M44" s="1816" t="s">
        <v>2794</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1976</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352578.35000000003</v>
      </c>
      <c r="F47" s="365">
        <f>G47/B44</f>
        <v>4.9999950365642136E-2</v>
      </c>
      <c r="G47" s="3373">
        <v>352578</v>
      </c>
      <c r="H47" s="3374"/>
      <c r="I47" s="305"/>
      <c r="J47" s="3373">
        <v>352578</v>
      </c>
      <c r="K47" s="3374"/>
      <c r="L47" s="1580"/>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2861</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2699</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2"/>
      <c r="H52" s="3353"/>
      <c r="J52" s="3352"/>
      <c r="K52" s="3353"/>
      <c r="L52" s="1580"/>
      <c r="M52" s="3352"/>
      <c r="N52" s="3353"/>
      <c r="P52" s="3352"/>
      <c r="Q52" s="3353"/>
      <c r="S52" s="3352"/>
      <c r="T52" s="3353"/>
      <c r="V52" s="3381"/>
      <c r="W52" s="3355"/>
      <c r="X52" s="3356"/>
    </row>
    <row r="53" spans="1:24" s="305" customFormat="1" ht="12" customHeight="1">
      <c r="B53" s="305" t="s">
        <v>3761</v>
      </c>
      <c r="G53" s="3357"/>
      <c r="H53" s="3358"/>
      <c r="J53" s="3357"/>
      <c r="K53" s="3358"/>
      <c r="L53" s="1580"/>
      <c r="M53" s="3357"/>
      <c r="N53" s="3358"/>
      <c r="P53" s="3357"/>
      <c r="Q53" s="3358"/>
      <c r="S53" s="3357"/>
      <c r="T53" s="3358"/>
      <c r="V53" s="3381"/>
      <c r="W53" s="3355"/>
      <c r="X53" s="3356"/>
    </row>
    <row r="54" spans="1:24" s="305" customFormat="1" ht="12" customHeight="1">
      <c r="B54" s="305" t="s">
        <v>2361</v>
      </c>
      <c r="G54" s="3357">
        <v>68630</v>
      </c>
      <c r="H54" s="3358"/>
      <c r="J54" s="3357">
        <v>68630</v>
      </c>
      <c r="K54" s="3358"/>
      <c r="L54" s="1580"/>
      <c r="M54" s="3357"/>
      <c r="N54" s="3358"/>
      <c r="P54" s="3357"/>
      <c r="Q54" s="3358"/>
      <c r="S54" s="3357"/>
      <c r="T54" s="3358"/>
      <c r="V54" s="3381"/>
      <c r="W54" s="3355"/>
      <c r="X54" s="3356"/>
    </row>
    <row r="55" spans="1:24" s="305" customFormat="1" ht="12" customHeight="1">
      <c r="B55" s="305" t="s">
        <v>2362</v>
      </c>
      <c r="G55" s="3357">
        <v>241948</v>
      </c>
      <c r="H55" s="3358"/>
      <c r="J55" s="3357">
        <v>241948</v>
      </c>
      <c r="K55" s="3358"/>
      <c r="L55" s="1580"/>
      <c r="M55" s="3357"/>
      <c r="N55" s="3358"/>
      <c r="P55" s="3357"/>
      <c r="Q55" s="3358"/>
      <c r="S55" s="3357"/>
      <c r="T55" s="3358"/>
      <c r="V55" s="3381"/>
      <c r="W55" s="3355"/>
      <c r="X55" s="3356"/>
    </row>
    <row r="56" spans="1:24" s="305" customFormat="1" ht="12" customHeight="1">
      <c r="B56" s="305" t="s">
        <v>2363</v>
      </c>
      <c r="G56" s="3357">
        <v>10000</v>
      </c>
      <c r="H56" s="3358"/>
      <c r="J56" s="3357">
        <v>10000</v>
      </c>
      <c r="K56" s="3358"/>
      <c r="L56" s="1580"/>
      <c r="M56" s="3357"/>
      <c r="N56" s="3358"/>
      <c r="P56" s="3357"/>
      <c r="Q56" s="3358"/>
      <c r="S56" s="3357"/>
      <c r="T56" s="3358"/>
      <c r="V56" s="3381"/>
      <c r="W56" s="3355"/>
      <c r="X56" s="3356"/>
    </row>
    <row r="57" spans="1:24" s="305" customFormat="1" ht="12" customHeight="1">
      <c r="B57" s="305" t="s">
        <v>2703</v>
      </c>
      <c r="G57" s="3357"/>
      <c r="H57" s="3358"/>
      <c r="J57" s="3357"/>
      <c r="K57" s="3358"/>
      <c r="L57" s="1580"/>
      <c r="M57" s="3357"/>
      <c r="N57" s="3358"/>
      <c r="P57" s="3357"/>
      <c r="Q57" s="3358"/>
      <c r="S57" s="3357"/>
      <c r="T57" s="3358"/>
      <c r="V57" s="3381"/>
      <c r="W57" s="3355"/>
      <c r="X57" s="3356"/>
    </row>
    <row r="58" spans="1:24" s="305" customFormat="1" ht="12" customHeight="1">
      <c r="B58" s="305" t="s">
        <v>731</v>
      </c>
      <c r="G58" s="3357">
        <v>1000</v>
      </c>
      <c r="H58" s="3358"/>
      <c r="J58" s="3357">
        <v>1000</v>
      </c>
      <c r="K58" s="3358"/>
      <c r="L58" s="1580"/>
      <c r="M58" s="3357"/>
      <c r="N58" s="3358"/>
      <c r="P58" s="3357"/>
      <c r="Q58" s="3358"/>
      <c r="S58" s="3357"/>
      <c r="T58" s="3358"/>
      <c r="V58" s="3381"/>
      <c r="W58" s="3355"/>
      <c r="X58" s="3356"/>
    </row>
    <row r="59" spans="1:24" s="305" customFormat="1" ht="12" customHeight="1">
      <c r="B59" s="305" t="s">
        <v>2364</v>
      </c>
      <c r="G59" s="3357">
        <v>12500</v>
      </c>
      <c r="H59" s="3358"/>
      <c r="J59" s="3357">
        <v>12500</v>
      </c>
      <c r="K59" s="3358"/>
      <c r="L59" s="1580"/>
      <c r="M59" s="3357"/>
      <c r="N59" s="3358"/>
      <c r="P59" s="3357"/>
      <c r="Q59" s="3358"/>
      <c r="S59" s="3357"/>
      <c r="T59" s="3358"/>
      <c r="V59" s="3381"/>
      <c r="W59" s="3355"/>
      <c r="X59" s="3356"/>
    </row>
    <row r="60" spans="1:24" s="305" customFormat="1" ht="12" customHeight="1">
      <c r="B60" s="305" t="s">
        <v>1288</v>
      </c>
      <c r="G60" s="3357">
        <v>25000</v>
      </c>
      <c r="H60" s="3358"/>
      <c r="J60" s="3357">
        <v>25000</v>
      </c>
      <c r="K60" s="3358"/>
      <c r="L60" s="1580"/>
      <c r="M60" s="3357"/>
      <c r="N60" s="3358"/>
      <c r="P60" s="3357"/>
      <c r="Q60" s="3358"/>
      <c r="S60" s="3357"/>
      <c r="T60" s="3358"/>
      <c r="V60" s="3381"/>
      <c r="W60" s="3355"/>
      <c r="X60" s="3356"/>
    </row>
    <row r="61" spans="1:24" s="305" customFormat="1" ht="12" customHeight="1">
      <c r="B61" s="367" t="s">
        <v>1163</v>
      </c>
      <c r="D61" s="365"/>
      <c r="E61" s="365"/>
      <c r="F61" s="366"/>
      <c r="G61" s="3357"/>
      <c r="H61" s="3358"/>
      <c r="I61" s="324"/>
      <c r="J61" s="3357"/>
      <c r="K61" s="3358"/>
      <c r="L61" s="1580"/>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3738</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3738</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359078</v>
      </c>
      <c r="H64" s="1801"/>
      <c r="J64" s="1800">
        <f>SUM(J52:K63)</f>
        <v>359078</v>
      </c>
      <c r="K64" s="1801"/>
      <c r="L64" s="363"/>
      <c r="M64" s="1800">
        <f>SUM(M52:N63)</f>
        <v>0</v>
      </c>
      <c r="N64" s="1801"/>
      <c r="P64" s="1800">
        <f>SUM(P52:Q63)</f>
        <v>0</v>
      </c>
      <c r="Q64" s="1801"/>
      <c r="S64" s="1800">
        <f>SUM(S52:T63)</f>
        <v>0</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110000</v>
      </c>
      <c r="H66" s="3353"/>
      <c r="J66" s="3352">
        <v>110000</v>
      </c>
      <c r="K66" s="3353"/>
      <c r="L66" s="1580"/>
      <c r="M66" s="3352"/>
      <c r="N66" s="3353"/>
      <c r="P66" s="3352"/>
      <c r="Q66" s="3353"/>
      <c r="S66" s="3352"/>
      <c r="T66" s="3353"/>
      <c r="V66" s="3354"/>
      <c r="W66" s="3355"/>
      <c r="X66" s="3356"/>
    </row>
    <row r="67" spans="1:24" s="305" customFormat="1" ht="12" customHeight="1">
      <c r="B67" s="305" t="s">
        <v>482</v>
      </c>
      <c r="G67" s="3357">
        <v>32500</v>
      </c>
      <c r="H67" s="3358"/>
      <c r="J67" s="3357">
        <v>32500</v>
      </c>
      <c r="K67" s="3358"/>
      <c r="L67" s="1580"/>
      <c r="M67" s="3357"/>
      <c r="N67" s="3358"/>
      <c r="P67" s="3357"/>
      <c r="Q67" s="3358"/>
      <c r="S67" s="3357"/>
      <c r="T67" s="3358"/>
      <c r="V67" s="3354"/>
      <c r="W67" s="3355"/>
      <c r="X67" s="3356"/>
    </row>
    <row r="68" spans="1:24" s="305" customFormat="1" ht="12" customHeight="1">
      <c r="B68" s="305" t="s">
        <v>1137</v>
      </c>
      <c r="D68" s="318" t="s">
        <v>3877</v>
      </c>
      <c r="E68" s="1167">
        <f>'DCA Underwriting Assumptions'!R77</f>
        <v>20000</v>
      </c>
      <c r="F68" s="1168" t="str">
        <f>IF(G68&gt;E68,"CHECK!!!","")</f>
        <v/>
      </c>
      <c r="G68" s="3357">
        <v>20000</v>
      </c>
      <c r="H68" s="3358"/>
      <c r="J68" s="3357">
        <v>20000</v>
      </c>
      <c r="K68" s="3358"/>
      <c r="L68" s="1580"/>
      <c r="M68" s="3357"/>
      <c r="N68" s="3358"/>
      <c r="P68" s="3357"/>
      <c r="Q68" s="3358"/>
      <c r="S68" s="3357"/>
      <c r="T68" s="3358"/>
      <c r="V68" s="3354"/>
      <c r="W68" s="3355"/>
      <c r="X68" s="3356"/>
    </row>
    <row r="69" spans="1:24" s="305" customFormat="1" ht="12" customHeight="1">
      <c r="B69" s="305" t="s">
        <v>1138</v>
      </c>
      <c r="G69" s="3357">
        <v>10000</v>
      </c>
      <c r="H69" s="3358"/>
      <c r="J69" s="3357">
        <v>10000</v>
      </c>
      <c r="K69" s="3358"/>
      <c r="L69" s="1580"/>
      <c r="M69" s="3357"/>
      <c r="N69" s="3358"/>
      <c r="P69" s="3357"/>
      <c r="Q69" s="3358"/>
      <c r="S69" s="3357"/>
      <c r="T69" s="3358"/>
      <c r="V69" s="3354"/>
      <c r="W69" s="3355"/>
      <c r="X69" s="3356"/>
    </row>
    <row r="70" spans="1:24" s="305" customFormat="1" ht="12" customHeight="1">
      <c r="B70" s="305" t="s">
        <v>1139</v>
      </c>
      <c r="G70" s="3357">
        <v>25000</v>
      </c>
      <c r="H70" s="3358"/>
      <c r="J70" s="3357">
        <v>25000</v>
      </c>
      <c r="K70" s="3358"/>
      <c r="L70" s="1580"/>
      <c r="M70" s="3357"/>
      <c r="N70" s="3358"/>
      <c r="P70" s="3357"/>
      <c r="Q70" s="3358"/>
      <c r="S70" s="3357"/>
      <c r="T70" s="3358"/>
      <c r="V70" s="3354"/>
      <c r="W70" s="3355"/>
      <c r="X70" s="3356"/>
    </row>
    <row r="71" spans="1:24" s="305" customFormat="1" ht="12" customHeight="1">
      <c r="B71" s="305" t="s">
        <v>1140</v>
      </c>
      <c r="G71" s="3357">
        <v>25000</v>
      </c>
      <c r="H71" s="3358"/>
      <c r="J71" s="3357">
        <v>25000</v>
      </c>
      <c r="K71" s="3358"/>
      <c r="L71" s="1580"/>
      <c r="M71" s="3357"/>
      <c r="N71" s="3358"/>
      <c r="P71" s="3357"/>
      <c r="Q71" s="3358"/>
      <c r="S71" s="3357"/>
      <c r="T71" s="3358"/>
      <c r="V71" s="3354"/>
      <c r="W71" s="3355"/>
      <c r="X71" s="3356"/>
    </row>
    <row r="72" spans="1:24" s="305" customFormat="1" ht="12" customHeight="1">
      <c r="B72" s="305" t="s">
        <v>483</v>
      </c>
      <c r="G72" s="3357">
        <v>75000</v>
      </c>
      <c r="H72" s="3358"/>
      <c r="J72" s="3357">
        <v>75000</v>
      </c>
      <c r="K72" s="3358"/>
      <c r="L72" s="1580"/>
      <c r="M72" s="3357"/>
      <c r="N72" s="3358"/>
      <c r="P72" s="3357"/>
      <c r="Q72" s="3358"/>
      <c r="S72" s="3357"/>
      <c r="T72" s="3358"/>
      <c r="V72" s="3354"/>
      <c r="W72" s="3355"/>
      <c r="X72" s="3356"/>
    </row>
    <row r="73" spans="1:24" s="305" customFormat="1" ht="12" customHeight="1">
      <c r="B73" s="305" t="s">
        <v>484</v>
      </c>
      <c r="G73" s="3357">
        <v>40000</v>
      </c>
      <c r="H73" s="3358"/>
      <c r="J73" s="3357">
        <v>20000</v>
      </c>
      <c r="K73" s="3358"/>
      <c r="L73" s="1580"/>
      <c r="M73" s="3357"/>
      <c r="N73" s="3358"/>
      <c r="P73" s="3357"/>
      <c r="Q73" s="3358"/>
      <c r="S73" s="3357">
        <v>20000</v>
      </c>
      <c r="T73" s="3358"/>
      <c r="V73" s="3354"/>
      <c r="W73" s="3355"/>
      <c r="X73" s="3356"/>
    </row>
    <row r="74" spans="1:24" s="305" customFormat="1" ht="12" customHeight="1">
      <c r="B74" s="305" t="s">
        <v>2064</v>
      </c>
      <c r="G74" s="3357">
        <v>15000</v>
      </c>
      <c r="H74" s="3358"/>
      <c r="J74" s="3357">
        <v>15000</v>
      </c>
      <c r="K74" s="3358"/>
      <c r="L74" s="1580"/>
      <c r="M74" s="3357"/>
      <c r="N74" s="3358"/>
      <c r="P74" s="3357"/>
      <c r="Q74" s="3358"/>
      <c r="S74" s="3357"/>
      <c r="T74" s="3358"/>
      <c r="V74" s="3354"/>
      <c r="W74" s="3355"/>
      <c r="X74" s="3356"/>
    </row>
    <row r="75" spans="1:24" s="305" customFormat="1" ht="12" customHeight="1">
      <c r="B75" s="305" t="s">
        <v>1289</v>
      </c>
      <c r="G75" s="3357">
        <v>10000</v>
      </c>
      <c r="H75" s="3358"/>
      <c r="J75" s="3357">
        <v>10000</v>
      </c>
      <c r="K75" s="3358"/>
      <c r="L75" s="1580"/>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3738</v>
      </c>
      <c r="D76" s="3359"/>
      <c r="E76" s="3359"/>
      <c r="F76" s="3360"/>
      <c r="G76" s="3386"/>
      <c r="H76" s="3387"/>
      <c r="J76" s="3386"/>
      <c r="K76" s="3387"/>
      <c r="L76" s="1580"/>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362500</v>
      </c>
      <c r="H77" s="1801"/>
      <c r="J77" s="1800">
        <f>SUM(J66:K76)</f>
        <v>342500</v>
      </c>
      <c r="K77" s="1801"/>
      <c r="L77" s="363"/>
      <c r="M77" s="1800">
        <f>SUM(M66:N76)</f>
        <v>0</v>
      </c>
      <c r="N77" s="1801"/>
      <c r="P77" s="1800">
        <f>SUM(P66:Q76)</f>
        <v>0</v>
      </c>
      <c r="Q77" s="1801"/>
      <c r="S77" s="1800">
        <f>SUM(S66:T76)</f>
        <v>20000</v>
      </c>
      <c r="T77" s="1801"/>
      <c r="V77" s="3366">
        <f>SUM(V66:V76)</f>
        <v>0</v>
      </c>
      <c r="W77" s="3367"/>
      <c r="X77" s="3368"/>
    </row>
    <row r="78" spans="1:24" ht="12" customHeight="1">
      <c r="A78" s="305"/>
      <c r="B78" s="307" t="s">
        <v>1281</v>
      </c>
      <c r="C78" s="305"/>
      <c r="D78" s="969" t="s">
        <v>3762</v>
      </c>
      <c r="E78" s="1054">
        <f>G83/'Part VI-Revenues &amp; Expenses'!$O$62</f>
        <v>1819.72</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26705</v>
      </c>
      <c r="H79" s="3353"/>
      <c r="J79" s="3352">
        <v>26705</v>
      </c>
      <c r="K79" s="3353"/>
      <c r="L79" s="1580"/>
      <c r="M79" s="3352"/>
      <c r="N79" s="3353"/>
      <c r="P79" s="3352"/>
      <c r="Q79" s="3353"/>
      <c r="S79" s="3352"/>
      <c r="T79" s="3353"/>
      <c r="V79" s="3354"/>
      <c r="W79" s="3355"/>
      <c r="X79" s="3356"/>
    </row>
    <row r="80" spans="1:24" s="305" customFormat="1" ht="12" customHeight="1">
      <c r="B80" s="305" t="s">
        <v>1283</v>
      </c>
      <c r="G80" s="3357"/>
      <c r="H80" s="3358"/>
      <c r="J80" s="3357"/>
      <c r="K80" s="3358"/>
      <c r="L80" s="1580"/>
      <c r="M80" s="3357"/>
      <c r="N80" s="3358"/>
      <c r="P80" s="3357"/>
      <c r="Q80" s="3358"/>
      <c r="S80" s="3357"/>
      <c r="T80" s="3358"/>
      <c r="V80" s="3354"/>
      <c r="W80" s="3355"/>
      <c r="X80" s="3356"/>
    </row>
    <row r="81" spans="1:24" s="305" customFormat="1" ht="12" customHeight="1">
      <c r="B81" s="305" t="s">
        <v>1284</v>
      </c>
      <c r="D81" s="369" t="s">
        <v>1415</v>
      </c>
      <c r="E81" s="3389" t="s">
        <v>3012</v>
      </c>
      <c r="G81" s="3357">
        <v>17831</v>
      </c>
      <c r="H81" s="3358"/>
      <c r="I81" s="324"/>
      <c r="J81" s="3357">
        <v>17831</v>
      </c>
      <c r="K81" s="3358"/>
      <c r="L81" s="1580"/>
      <c r="M81" s="3357"/>
      <c r="N81" s="3358"/>
      <c r="P81" s="3357"/>
      <c r="Q81" s="3358"/>
      <c r="S81" s="3357"/>
      <c r="T81" s="3358"/>
      <c r="V81" s="3354"/>
      <c r="W81" s="3355"/>
      <c r="X81" s="3356"/>
    </row>
    <row r="82" spans="1:24" s="305" customFormat="1" ht="12" customHeight="1" thickBot="1">
      <c r="B82" s="305" t="s">
        <v>1285</v>
      </c>
      <c r="D82" s="369" t="s">
        <v>1415</v>
      </c>
      <c r="E82" s="3390" t="s">
        <v>3012</v>
      </c>
      <c r="G82" s="3386">
        <v>46450</v>
      </c>
      <c r="H82" s="3387"/>
      <c r="I82" s="324"/>
      <c r="J82" s="3386">
        <v>46450</v>
      </c>
      <c r="K82" s="3387"/>
      <c r="L82" s="1580"/>
      <c r="M82" s="3386"/>
      <c r="N82" s="3387"/>
      <c r="P82" s="3386"/>
      <c r="Q82" s="3387"/>
      <c r="S82" s="3386"/>
      <c r="T82" s="3387"/>
      <c r="V82" s="3354"/>
      <c r="W82" s="3364"/>
      <c r="X82" s="3365"/>
    </row>
    <row r="83" spans="1:24" s="305" customFormat="1" ht="12" customHeight="1" thickTop="1">
      <c r="F83" s="361" t="s">
        <v>193</v>
      </c>
      <c r="G83" s="1800">
        <f>SUM(G79:H82)</f>
        <v>90986</v>
      </c>
      <c r="H83" s="1801"/>
      <c r="J83" s="1800">
        <f>SUM(J79:K82)</f>
        <v>90986</v>
      </c>
      <c r="K83" s="1801"/>
      <c r="L83" s="363"/>
      <c r="M83" s="1800">
        <f>SUM(M79:N82)</f>
        <v>0</v>
      </c>
      <c r="N83" s="1801"/>
      <c r="P83" s="1800">
        <f>SUM(P79:Q82)</f>
        <v>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c r="H85" s="3353"/>
      <c r="J85" s="1804"/>
      <c r="K85" s="1804"/>
      <c r="L85" s="1580"/>
      <c r="M85" s="1804"/>
      <c r="N85" s="1804"/>
      <c r="P85" s="1804"/>
      <c r="Q85" s="1804"/>
      <c r="S85" s="3352"/>
      <c r="T85" s="3353"/>
      <c r="V85" s="3354"/>
      <c r="W85" s="3355"/>
      <c r="X85" s="3356"/>
    </row>
    <row r="86" spans="1:24" s="305" customFormat="1" ht="12" customHeight="1">
      <c r="B86" s="305" t="s">
        <v>1287</v>
      </c>
      <c r="G86" s="3357"/>
      <c r="H86" s="3358"/>
      <c r="J86" s="1804"/>
      <c r="K86" s="1804"/>
      <c r="L86" s="1580"/>
      <c r="M86" s="1804"/>
      <c r="N86" s="1804"/>
      <c r="P86" s="1804"/>
      <c r="Q86" s="1804"/>
      <c r="S86" s="3357"/>
      <c r="T86" s="3358"/>
      <c r="V86" s="3354"/>
      <c r="W86" s="3355"/>
      <c r="X86" s="3356"/>
    </row>
    <row r="87" spans="1:24" s="305" customFormat="1" ht="12" customHeight="1">
      <c r="B87" s="305" t="s">
        <v>1288</v>
      </c>
      <c r="G87" s="3357"/>
      <c r="H87" s="3358"/>
      <c r="J87" s="1804"/>
      <c r="K87" s="1804"/>
      <c r="L87" s="1580"/>
      <c r="M87" s="1804"/>
      <c r="N87" s="1804"/>
      <c r="P87" s="1804"/>
      <c r="Q87" s="1804"/>
      <c r="S87" s="3357"/>
      <c r="T87" s="3358"/>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2313</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3738</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0</v>
      </c>
      <c r="H91" s="1801"/>
      <c r="J91" s="1804"/>
      <c r="K91" s="1804"/>
      <c r="L91" s="363"/>
      <c r="M91" s="1804"/>
      <c r="N91" s="1804"/>
      <c r="P91" s="1804"/>
      <c r="Q91" s="1804"/>
      <c r="S91" s="1800">
        <f>SUM(S85:T90)</f>
        <v>0</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2860</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2699</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80"/>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3983</v>
      </c>
      <c r="G98" s="3357">
        <v>1000</v>
      </c>
      <c r="H98" s="3358"/>
      <c r="J98" s="363"/>
      <c r="K98" s="363"/>
      <c r="L98" s="370"/>
      <c r="M98" s="363"/>
      <c r="N98" s="363"/>
      <c r="O98" s="1570"/>
      <c r="P98" s="363"/>
      <c r="Q98" s="363"/>
      <c r="S98" s="3357">
        <v>1000</v>
      </c>
      <c r="T98" s="3358"/>
      <c r="V98" s="3354"/>
      <c r="W98" s="3355"/>
      <c r="X98" s="3356"/>
    </row>
    <row r="99" spans="1:24" s="305" customFormat="1" ht="12.6" customHeight="1">
      <c r="B99" s="305" t="s">
        <v>524</v>
      </c>
      <c r="E99" s="1811">
        <f>'DCA Underwriting Assumptions'!$Q$88*J175</f>
        <v>68000</v>
      </c>
      <c r="F99" s="1812"/>
      <c r="G99" s="3357">
        <v>68000</v>
      </c>
      <c r="H99" s="3358"/>
      <c r="J99" s="1055" t="str">
        <f>IF(E99&gt;G99,"WARNING!  LIHTC Allocation Fee proposed is below minimum required.","")</f>
        <v/>
      </c>
      <c r="K99" s="363"/>
      <c r="L99" s="1580"/>
      <c r="M99" s="363"/>
      <c r="N99" s="363"/>
      <c r="O99" s="1570"/>
      <c r="P99" s="363"/>
      <c r="Q99" s="363"/>
      <c r="S99" s="3357">
        <v>68000</v>
      </c>
      <c r="T99" s="3358"/>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100" s="1812"/>
      <c r="G100" s="3357">
        <v>40000</v>
      </c>
      <c r="H100" s="3358"/>
      <c r="J100" s="1055" t="str">
        <f>IF(E100&gt;G100,"WARNING!  LIHTC Compliance Fee proposed is below minimum required.","")</f>
        <v/>
      </c>
      <c r="K100" s="280"/>
      <c r="L100" s="280"/>
      <c r="M100" s="280"/>
      <c r="N100" s="280"/>
      <c r="O100" s="280"/>
      <c r="P100" s="280"/>
      <c r="Q100" s="280"/>
      <c r="S100" s="3357">
        <v>40000</v>
      </c>
      <c r="T100" s="3358"/>
      <c r="V100" s="3354"/>
      <c r="W100" s="3355"/>
      <c r="X100" s="3356"/>
    </row>
    <row r="101" spans="1:24" s="305" customFormat="1" ht="12.6" customHeight="1">
      <c r="B101" s="305" t="s">
        <v>4298</v>
      </c>
      <c r="F101" s="1387">
        <f>'DCA Underwriting Assumptions'!$Q$90</f>
        <v>3000</v>
      </c>
      <c r="G101" s="3357">
        <v>3000</v>
      </c>
      <c r="H101" s="3358"/>
      <c r="J101" s="280"/>
      <c r="K101" s="280"/>
      <c r="L101" s="280"/>
      <c r="M101" s="280"/>
      <c r="N101" s="280"/>
      <c r="O101" s="280"/>
      <c r="P101" s="280"/>
      <c r="Q101" s="280"/>
      <c r="S101" s="3357">
        <v>3000</v>
      </c>
      <c r="T101" s="3358"/>
      <c r="V101" s="3354"/>
      <c r="W101" s="3355"/>
      <c r="X101" s="3356"/>
    </row>
    <row r="102" spans="1:24" s="305" customFormat="1" ht="12.6" customHeight="1">
      <c r="B102" s="305" t="s">
        <v>4299</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3738</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3738</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121500</v>
      </c>
      <c r="H105" s="1801"/>
      <c r="J105" s="363"/>
      <c r="K105" s="363"/>
      <c r="L105" s="1580"/>
      <c r="M105" s="363"/>
      <c r="N105" s="363"/>
      <c r="P105" s="363"/>
      <c r="Q105" s="363"/>
      <c r="S105" s="1800">
        <f>SUM(S96:T104)</f>
        <v>121500</v>
      </c>
      <c r="T105" s="1801"/>
      <c r="V105" s="3366">
        <f>SUM(V96:V104)</f>
        <v>0</v>
      </c>
      <c r="W105" s="3391"/>
      <c r="X105" s="3392"/>
    </row>
    <row r="106" spans="1:24" s="305" customFormat="1" ht="13.15" customHeight="1">
      <c r="B106" s="307" t="s">
        <v>2314</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2500</v>
      </c>
      <c r="H107" s="3353"/>
      <c r="J107" s="1804"/>
      <c r="K107" s="1804"/>
      <c r="L107" s="1580"/>
      <c r="M107" s="1804"/>
      <c r="N107" s="1804"/>
      <c r="O107" s="1570"/>
      <c r="P107" s="1804"/>
      <c r="Q107" s="1804"/>
      <c r="S107" s="3352">
        <v>2500</v>
      </c>
      <c r="T107" s="3353"/>
      <c r="V107" s="3354"/>
      <c r="W107" s="3355"/>
      <c r="X107" s="3356"/>
    </row>
    <row r="108" spans="1:24" s="305" customFormat="1" ht="12.6" customHeight="1">
      <c r="B108" s="305" t="s">
        <v>282</v>
      </c>
      <c r="G108" s="3357"/>
      <c r="H108" s="3358"/>
      <c r="J108" s="1804"/>
      <c r="K108" s="1804"/>
      <c r="L108" s="1580"/>
      <c r="M108" s="1804"/>
      <c r="N108" s="1804"/>
      <c r="O108" s="1570"/>
      <c r="P108" s="1804"/>
      <c r="Q108" s="1804"/>
      <c r="S108" s="3357"/>
      <c r="T108" s="3358"/>
      <c r="V108" s="3354"/>
      <c r="W108" s="3355"/>
      <c r="X108" s="3356"/>
    </row>
    <row r="109" spans="1:24" s="305" customFormat="1" ht="12.6" customHeight="1">
      <c r="B109" s="305" t="s">
        <v>2401</v>
      </c>
      <c r="G109" s="3357"/>
      <c r="H109" s="3358"/>
      <c r="J109" s="1804"/>
      <c r="K109" s="1804"/>
      <c r="L109" s="1580"/>
      <c r="M109" s="1804"/>
      <c r="N109" s="1804"/>
      <c r="O109" s="1570"/>
      <c r="P109" s="1804"/>
      <c r="Q109" s="1804"/>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3738</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1873</v>
      </c>
      <c r="F113" s="412">
        <f>IF($G$118=0,0,G113/$G$118)</f>
        <v>0.19999984193234546</v>
      </c>
      <c r="G113" s="3393">
        <v>253056</v>
      </c>
      <c r="H113" s="3393"/>
      <c r="J113" s="3394">
        <v>253056</v>
      </c>
      <c r="K113" s="3395"/>
      <c r="L113" s="362"/>
      <c r="M113" s="3394"/>
      <c r="N113" s="3395"/>
      <c r="P113" s="3394"/>
      <c r="Q113" s="3395"/>
      <c r="S113" s="3394"/>
      <c r="T113" s="3395"/>
      <c r="V113" s="3354"/>
      <c r="W113" s="3355"/>
      <c r="X113" s="3356"/>
    </row>
    <row r="114" spans="1:24" s="305" customFormat="1" ht="12.6" customHeight="1">
      <c r="B114" s="305" t="s">
        <v>4250</v>
      </c>
      <c r="F114" s="3396">
        <v>253056</v>
      </c>
      <c r="V114" s="3354"/>
      <c r="W114" s="3355"/>
      <c r="X114" s="3356"/>
    </row>
    <row r="115" spans="1:24" s="305" customFormat="1" ht="12.6" customHeight="1">
      <c r="B115" s="305" t="s">
        <v>1874</v>
      </c>
      <c r="F115" s="412">
        <f>IF($G$118=0,0,G115/$G$118)</f>
        <v>0</v>
      </c>
      <c r="G115" s="3352"/>
      <c r="H115" s="3353"/>
      <c r="J115" s="3352"/>
      <c r="K115" s="3353"/>
      <c r="L115" s="1580"/>
      <c r="M115" s="3352"/>
      <c r="N115" s="3353"/>
      <c r="P115" s="3352"/>
      <c r="Q115" s="3353"/>
      <c r="S115" s="3352"/>
      <c r="T115" s="3353"/>
      <c r="V115" s="3354"/>
      <c r="W115" s="3355"/>
      <c r="X115" s="3356"/>
    </row>
    <row r="116" spans="1:24" s="305" customFormat="1" ht="12.6" customHeight="1">
      <c r="B116" s="305" t="s">
        <v>3658</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1866</v>
      </c>
      <c r="F117" s="412">
        <f>IF($G$118=0,0,G117/$G$118)</f>
        <v>0.80000015806765457</v>
      </c>
      <c r="G117" s="3386">
        <v>1012225</v>
      </c>
      <c r="H117" s="3387"/>
      <c r="J117" s="3386">
        <v>1012225</v>
      </c>
      <c r="K117" s="3387"/>
      <c r="L117" s="1580"/>
      <c r="M117" s="3386"/>
      <c r="N117" s="3387"/>
      <c r="P117" s="3386"/>
      <c r="Q117" s="3387"/>
      <c r="S117" s="3386"/>
      <c r="T117" s="3387"/>
      <c r="V117" s="3354"/>
      <c r="W117" s="3364"/>
      <c r="X117" s="3365"/>
    </row>
    <row r="118" spans="1:24" s="305" customFormat="1" ht="12.6" customHeight="1" thickTop="1">
      <c r="C118" s="386"/>
      <c r="F118" s="361" t="s">
        <v>193</v>
      </c>
      <c r="G118" s="1800">
        <f>SUM(G113:H117)</f>
        <v>1265281</v>
      </c>
      <c r="H118" s="1801"/>
      <c r="J118" s="1800">
        <f>SUM(J113:K117)</f>
        <v>1265281</v>
      </c>
      <c r="K118" s="1801"/>
      <c r="L118" s="1580"/>
      <c r="M118" s="1800">
        <f>SUM(M113:N117)</f>
        <v>0</v>
      </c>
      <c r="N118" s="1801"/>
      <c r="P118" s="1800">
        <f>SUM(P113:Q117)</f>
        <v>0</v>
      </c>
      <c r="Q118" s="1801"/>
      <c r="S118" s="1800">
        <f>SUM(S113:T117)</f>
        <v>0</v>
      </c>
      <c r="T118" s="1801"/>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20000</v>
      </c>
      <c r="H120" s="3353"/>
      <c r="J120" s="371"/>
      <c r="K120" s="371"/>
      <c r="L120" s="371"/>
      <c r="M120" s="371"/>
      <c r="N120" s="371"/>
      <c r="P120" s="371"/>
      <c r="Q120" s="371"/>
      <c r="S120" s="3352">
        <v>20000</v>
      </c>
      <c r="T120" s="3353"/>
      <c r="V120" s="3354"/>
      <c r="W120" s="3355"/>
      <c r="X120" s="3356"/>
    </row>
    <row r="121" spans="1:24" s="305" customFormat="1" ht="12.6" customHeight="1">
      <c r="B121" s="305" t="s">
        <v>1548</v>
      </c>
      <c r="F121" s="513">
        <f>+'Part VI-Revenues &amp; Expenses'!$P$175*('DCA Underwriting Assumptions'!$Q$110/12)</f>
        <v>53062.5</v>
      </c>
      <c r="G121" s="3357">
        <v>53063</v>
      </c>
      <c r="H121" s="3358"/>
      <c r="J121" s="1057" t="str">
        <f>IF(E121&gt;G121,"WARNING! Rent-Up Reserves proposed is below minimum - add comment.","")</f>
        <v/>
      </c>
      <c r="K121" s="1057"/>
      <c r="L121" s="1580"/>
      <c r="M121" s="1030"/>
      <c r="N121" s="1030"/>
      <c r="O121" s="1570"/>
      <c r="P121" s="1030"/>
      <c r="Q121" s="1030"/>
      <c r="R121" s="1570"/>
      <c r="S121" s="3357">
        <v>53063</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106125</v>
      </c>
      <c r="G122" s="3357">
        <v>106125</v>
      </c>
      <c r="H122" s="3358"/>
      <c r="J122" s="1057" t="str">
        <f>IF(E122&gt;G122,"WARNING! ODR proposed is below minimum - add comment.","")</f>
        <v/>
      </c>
      <c r="K122" s="370"/>
      <c r="L122" s="370"/>
      <c r="M122" s="370"/>
      <c r="N122" s="370"/>
      <c r="O122" s="1570"/>
      <c r="P122" s="370"/>
      <c r="Q122" s="370"/>
      <c r="R122" s="1570"/>
      <c r="S122" s="3357">
        <v>106125</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3589</v>
      </c>
      <c r="F124" s="481">
        <f>IF('Part VI-Revenues &amp; Expenses'!$O$62=0,0,G124/'Part VI-Revenues &amp; Expenses'!$O$62)</f>
        <v>700</v>
      </c>
      <c r="G124" s="3357">
        <v>35000</v>
      </c>
      <c r="H124" s="3358"/>
      <c r="J124" s="3352">
        <v>35000</v>
      </c>
      <c r="K124" s="3353"/>
      <c r="L124" s="1580"/>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3738</v>
      </c>
      <c r="D125" s="3359"/>
      <c r="E125" s="3359"/>
      <c r="F125" s="3360"/>
      <c r="G125" s="3386"/>
      <c r="H125" s="3387"/>
      <c r="J125" s="3362"/>
      <c r="K125" s="3363"/>
      <c r="L125" s="1580"/>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214188</v>
      </c>
      <c r="H126" s="1801"/>
      <c r="J126" s="1800">
        <f>SUM(J124:K125)</f>
        <v>35000</v>
      </c>
      <c r="K126" s="1801"/>
      <c r="L126" s="1580"/>
      <c r="M126" s="1800">
        <f>SUM(M124:N125)</f>
        <v>0</v>
      </c>
      <c r="N126" s="1801"/>
      <c r="P126" s="1800">
        <f>SUM(P124:Q125)</f>
        <v>0</v>
      </c>
      <c r="Q126" s="1801"/>
      <c r="S126" s="1800">
        <f>SUM(S120:T125)</f>
        <v>179188</v>
      </c>
      <c r="T126" s="1801"/>
      <c r="V126" s="3366">
        <f>SUM(V120:V125)</f>
        <v>0</v>
      </c>
      <c r="W126" s="3367"/>
      <c r="X126" s="336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3738</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3.9" customHeight="1" thickBot="1">
      <c r="B132" s="311" t="s">
        <v>2785</v>
      </c>
      <c r="G132" s="1802">
        <f>G17+G23+G27+G33+G38+G41+G47+G64+G77+G83+G91+G105+G111+G118+G126+G130</f>
        <v>10134678</v>
      </c>
      <c r="H132" s="1803"/>
      <c r="J132" s="1802">
        <f>J17+J23+J27+J33+J38+J41+J47+J64+J77+J83+J91+J105+J111+J118+J126+J130</f>
        <v>9421953</v>
      </c>
      <c r="K132" s="1803"/>
      <c r="M132" s="1802">
        <f>M17+M23+M27+M33+M38+M41+M47+M64+M77+M83+M91+M105+M111+M118+M126+M130</f>
        <v>0</v>
      </c>
      <c r="N132" s="1803"/>
      <c r="P132" s="1802">
        <f>P17+P23+P27+P33+P38+P41+P47+P64+P77+P83+P91+P105+P111+P118+P126+P130</f>
        <v>0</v>
      </c>
      <c r="Q132" s="1803"/>
      <c r="S132" s="1802">
        <f>S17+S23+S27+S33+S38+S41+S47+S64+S77+S83+S91+S105+S111+S118+S126+S130</f>
        <v>712726</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3.9" customHeight="1">
      <c r="B134" s="524" t="s">
        <v>2781</v>
      </c>
      <c r="C134" s="522"/>
      <c r="D134" s="1793">
        <f>IF('Part VI-Revenues &amp; Expenses'!$O$62=0,0,G132/'Part VI-Revenues &amp; Expenses'!$O$62)</f>
        <v>202693.56</v>
      </c>
      <c r="E134" s="1793"/>
      <c r="F134" s="523" t="s">
        <v>2780</v>
      </c>
      <c r="G134" s="1794">
        <f>IF('Part I-Project Information'!$P$71=0,0,G132/'Part I-Project Information'!$P$71)</f>
        <v>178.74211640211641</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2059</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1"/>
      <c r="K140" s="3402"/>
      <c r="P140" s="3401"/>
      <c r="Q140" s="3402"/>
      <c r="V140" s="3354"/>
      <c r="W140" s="3355"/>
      <c r="X140" s="3356"/>
    </row>
    <row r="141" spans="1:24" s="305" customFormat="1" ht="13.9" customHeight="1">
      <c r="B141" s="1570" t="s">
        <v>2167</v>
      </c>
      <c r="D141" s="1570"/>
      <c r="E141" s="1570"/>
      <c r="F141" s="1570"/>
      <c r="G141" s="1570"/>
      <c r="H141" s="1570"/>
      <c r="I141" s="375"/>
      <c r="J141" s="3403"/>
      <c r="K141" s="3404"/>
      <c r="P141" s="3403"/>
      <c r="Q141" s="3404"/>
      <c r="V141" s="3354"/>
      <c r="W141" s="3355"/>
      <c r="X141" s="3356"/>
    </row>
    <row r="142" spans="1:24" s="305" customFormat="1" ht="13.9" customHeight="1">
      <c r="B142" s="1570" t="s">
        <v>1876</v>
      </c>
      <c r="D142" s="1570"/>
      <c r="E142" s="1570"/>
      <c r="I142" s="375"/>
      <c r="J142" s="3403"/>
      <c r="K142" s="3404"/>
      <c r="P142" s="3403"/>
      <c r="Q142" s="3404"/>
      <c r="V142" s="3354"/>
      <c r="W142" s="3355"/>
      <c r="X142" s="3356"/>
    </row>
    <row r="143" spans="1:24" s="305" customFormat="1" ht="13.9" customHeight="1">
      <c r="B143" s="1570" t="s">
        <v>1877</v>
      </c>
      <c r="D143" s="1570"/>
      <c r="E143" s="1570"/>
      <c r="I143" s="375"/>
      <c r="J143" s="3403"/>
      <c r="K143" s="3404"/>
      <c r="P143" s="3403"/>
      <c r="Q143" s="3404"/>
      <c r="V143" s="3354"/>
      <c r="W143" s="3355"/>
      <c r="X143" s="3356"/>
    </row>
    <row r="144" spans="1:24" s="305" customFormat="1" ht="13.9" customHeight="1">
      <c r="B144" s="1570" t="s">
        <v>256</v>
      </c>
      <c r="D144" s="1570"/>
      <c r="E144" s="1570"/>
      <c r="I144" s="375"/>
      <c r="J144" s="3403"/>
      <c r="K144" s="3404"/>
      <c r="P144" s="3403"/>
      <c r="Q144" s="3404"/>
      <c r="V144" s="3354"/>
      <c r="W144" s="3355"/>
      <c r="X144" s="3356"/>
    </row>
    <row r="145" spans="1:24" s="305" customFormat="1" ht="13.9" customHeight="1" thickBot="1">
      <c r="B145" s="1570" t="s">
        <v>1613</v>
      </c>
      <c r="C145" s="3405" t="s">
        <v>2430</v>
      </c>
      <c r="D145" s="3405"/>
      <c r="E145" s="3405"/>
      <c r="F145" s="3405"/>
      <c r="G145" s="3405"/>
      <c r="H145" s="3405"/>
      <c r="I145" s="3406"/>
      <c r="J145" s="3407"/>
      <c r="K145" s="3408"/>
      <c r="P145" s="3407"/>
      <c r="Q145" s="3408"/>
      <c r="V145" s="3354"/>
      <c r="W145" s="3364"/>
      <c r="X145" s="3365"/>
    </row>
    <row r="146" spans="1:24" s="305" customFormat="1" ht="13.9" customHeight="1" thickBot="1">
      <c r="B146" s="316" t="s">
        <v>1878</v>
      </c>
      <c r="C146" s="319"/>
      <c r="J146" s="1702">
        <f>SUM(J140:K145)</f>
        <v>0</v>
      </c>
      <c r="K146" s="1703"/>
      <c r="P146" s="1702">
        <f>SUM(P140:Q145)</f>
        <v>0</v>
      </c>
      <c r="Q146" s="1703"/>
      <c r="V146" s="3366">
        <f>SUM(V140:V145)</f>
        <v>0</v>
      </c>
      <c r="W146" s="3367"/>
      <c r="X146" s="3368"/>
    </row>
    <row r="147" spans="1:24" s="305" customFormat="1" ht="3" customHeight="1">
      <c r="V147" s="1176"/>
    </row>
    <row r="148" spans="1:24" s="305" customFormat="1" ht="15" customHeight="1" thickBot="1">
      <c r="B148" s="307" t="s">
        <v>2355</v>
      </c>
      <c r="V148" s="1176"/>
      <c r="W148" s="305" t="str">
        <f>B148</f>
        <v>Eligible Basis Calculation</v>
      </c>
    </row>
    <row r="149" spans="1:24" s="305" customFormat="1" ht="13.9" customHeight="1">
      <c r="B149" s="305" t="s">
        <v>1803</v>
      </c>
      <c r="J149" s="1789">
        <f>J132</f>
        <v>9421953</v>
      </c>
      <c r="K149" s="1790"/>
      <c r="M149" s="1791">
        <f>M132</f>
        <v>0</v>
      </c>
      <c r="N149" s="1792"/>
      <c r="P149" s="1789">
        <f>P132</f>
        <v>0</v>
      </c>
      <c r="Q149" s="1790"/>
      <c r="V149" s="3354"/>
      <c r="W149" s="3355"/>
      <c r="X149" s="3356"/>
    </row>
    <row r="150" spans="1:24" s="305" customFormat="1" ht="13.9" customHeight="1">
      <c r="B150" s="305" t="s">
        <v>2235</v>
      </c>
      <c r="J150" s="1762">
        <f>J146</f>
        <v>0</v>
      </c>
      <c r="K150" s="1763"/>
      <c r="M150" s="1771"/>
      <c r="N150" s="1771"/>
      <c r="P150" s="1762">
        <f>P146</f>
        <v>0</v>
      </c>
      <c r="Q150" s="1763"/>
      <c r="V150" s="3354"/>
      <c r="W150" s="3355"/>
      <c r="X150" s="3356"/>
    </row>
    <row r="151" spans="1:24" s="305" customFormat="1" ht="13.9" customHeight="1">
      <c r="B151" s="305" t="s">
        <v>2236</v>
      </c>
      <c r="J151" s="1762">
        <f>J149-J150</f>
        <v>9421953</v>
      </c>
      <c r="K151" s="1763"/>
      <c r="M151" s="1762">
        <f>M149</f>
        <v>0</v>
      </c>
      <c r="N151" s="1763"/>
      <c r="P151" s="1762">
        <f>P149-P150</f>
        <v>0</v>
      </c>
      <c r="Q151" s="1763"/>
      <c r="V151" s="3354"/>
      <c r="W151" s="3355"/>
      <c r="X151" s="3356"/>
    </row>
    <row r="152" spans="1:24" s="305" customFormat="1" ht="13.9" customHeight="1">
      <c r="B152" s="305" t="s">
        <v>1497</v>
      </c>
      <c r="G152" s="1561" t="s">
        <v>1727</v>
      </c>
      <c r="H152" s="3409" t="s">
        <v>4613</v>
      </c>
      <c r="I152" s="3410"/>
      <c r="J152" s="3411">
        <v>1.3</v>
      </c>
      <c r="K152" s="3412"/>
      <c r="M152" s="1784"/>
      <c r="N152" s="1784"/>
      <c r="P152" s="3411"/>
      <c r="Q152" s="3412"/>
      <c r="V152" s="3354"/>
      <c r="W152" s="3355"/>
      <c r="X152" s="3356"/>
    </row>
    <row r="153" spans="1:24" s="305" customFormat="1" ht="13.9" customHeight="1">
      <c r="B153" s="305" t="s">
        <v>2069</v>
      </c>
      <c r="J153" s="1762">
        <f>J151*J152</f>
        <v>12248538.9</v>
      </c>
      <c r="K153" s="1763"/>
      <c r="M153" s="1762">
        <f>+M151</f>
        <v>0</v>
      </c>
      <c r="N153" s="1763"/>
      <c r="P153" s="1762">
        <f>P151*P152</f>
        <v>0</v>
      </c>
      <c r="Q153" s="1763"/>
      <c r="V153" s="3354"/>
      <c r="W153" s="3355"/>
      <c r="X153" s="3356"/>
    </row>
    <row r="154" spans="1:24" s="305" customFormat="1" ht="13.9" customHeight="1">
      <c r="B154" s="305" t="s">
        <v>2557</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4"/>
      <c r="W154" s="3355"/>
      <c r="X154" s="3356"/>
    </row>
    <row r="155" spans="1:24" s="305" customFormat="1" ht="13.9" customHeight="1">
      <c r="B155" s="305" t="s">
        <v>2060</v>
      </c>
      <c r="J155" s="1762">
        <f>J153*J154</f>
        <v>12248538.9</v>
      </c>
      <c r="K155" s="1763"/>
      <c r="M155" s="1762">
        <f>M153*M154</f>
        <v>0</v>
      </c>
      <c r="N155" s="1763"/>
      <c r="P155" s="1762">
        <f>P153*P154</f>
        <v>0</v>
      </c>
      <c r="Q155" s="1763"/>
      <c r="V155" s="3354"/>
      <c r="W155" s="3355"/>
      <c r="X155" s="3356"/>
    </row>
    <row r="156" spans="1:24" s="305" customFormat="1" ht="13.9" customHeight="1">
      <c r="B156" s="305" t="s">
        <v>2061</v>
      </c>
      <c r="J156" s="3411">
        <v>0.09</v>
      </c>
      <c r="K156" s="3412"/>
      <c r="M156" s="3411"/>
      <c r="N156" s="3412"/>
      <c r="P156" s="3411"/>
      <c r="Q156" s="3412"/>
      <c r="V156" s="3354"/>
      <c r="W156" s="3355"/>
      <c r="X156" s="3356"/>
    </row>
    <row r="157" spans="1:24" s="305" customFormat="1" ht="13.9" customHeight="1" thickBot="1">
      <c r="B157" s="305" t="s">
        <v>2558</v>
      </c>
      <c r="J157" s="1787">
        <f>J155*J156</f>
        <v>1102368.5009999999</v>
      </c>
      <c r="K157" s="1788"/>
      <c r="M157" s="1787">
        <f>M155*M156</f>
        <v>0</v>
      </c>
      <c r="N157" s="1788"/>
      <c r="P157" s="1787">
        <f>P155*P156</f>
        <v>0</v>
      </c>
      <c r="Q157" s="1788"/>
      <c r="V157" s="3413"/>
      <c r="W157" s="3364"/>
      <c r="X157" s="3365"/>
    </row>
    <row r="158" spans="1:24" s="305" customFormat="1" ht="13.9" customHeight="1" thickBot="1">
      <c r="B158" s="307" t="s">
        <v>1436</v>
      </c>
      <c r="J158" s="1702">
        <f>J157+M157+P157</f>
        <v>1102368.5009999999</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2786</v>
      </c>
      <c r="G162" s="1754" t="str">
        <f>IF(J163&gt;J162,"TDC exceeds QAP PUCL!","")</f>
        <v/>
      </c>
      <c r="H162" s="1754"/>
      <c r="I162" s="1755"/>
      <c r="J162" s="1781">
        <f>'Part VIII-Threshold Criteria'!$P$63</f>
        <v>10137572</v>
      </c>
      <c r="K162" s="1782"/>
      <c r="L162" s="1783"/>
      <c r="M162" s="1756" t="s">
        <v>2763</v>
      </c>
      <c r="N162" s="1757"/>
      <c r="O162" s="1757"/>
      <c r="P162" s="1757"/>
      <c r="Q162" s="1757"/>
      <c r="R162" s="1758"/>
      <c r="S162" s="1756" t="s">
        <v>3699</v>
      </c>
      <c r="T162" s="1758"/>
      <c r="V162" s="3354"/>
      <c r="W162" s="3355"/>
      <c r="X162" s="3356"/>
    </row>
    <row r="163" spans="1:24" s="305" customFormat="1" ht="13.9" customHeight="1">
      <c r="B163" s="305" t="s">
        <v>2765</v>
      </c>
      <c r="J163" s="3414">
        <f>MIN(G132,J162,(G132-O165))</f>
        <v>10134678</v>
      </c>
      <c r="K163" s="3415"/>
      <c r="L163" s="3416"/>
      <c r="M163" s="1759"/>
      <c r="N163" s="1760"/>
      <c r="O163" s="1760"/>
      <c r="P163" s="1760"/>
      <c r="Q163" s="1760"/>
      <c r="R163" s="1761"/>
      <c r="S163" s="1759"/>
      <c r="T163" s="1761"/>
      <c r="V163" s="3354"/>
      <c r="W163" s="3355"/>
      <c r="X163" s="3356"/>
    </row>
    <row r="164" spans="1:24" s="305" customFormat="1" ht="13.9" customHeight="1">
      <c r="B164" s="305" t="s">
        <v>265</v>
      </c>
      <c r="J164" s="1762">
        <f>'Part III-Sources of Funds'!$I$58-'Part III-Sources of Funds'!$I$41-'Part III-Sources of Funds'!$I$42-'Part III-Sources of Funds'!$I$49-'Part III-Sources of Funds'!$I$50</f>
        <v>110</v>
      </c>
      <c r="K164" s="1771"/>
      <c r="L164" s="1772"/>
      <c r="M164" s="1759"/>
      <c r="N164" s="1760"/>
      <c r="O164" s="1760"/>
      <c r="P164" s="1760"/>
      <c r="Q164" s="1760"/>
      <c r="R164" s="1761"/>
      <c r="S164" s="1759"/>
      <c r="T164" s="1761"/>
      <c r="V164" s="3354"/>
      <c r="W164" s="3355"/>
      <c r="X164" s="3356"/>
    </row>
    <row r="165" spans="1:24" s="305" customFormat="1" ht="13.9" customHeight="1" thickBot="1">
      <c r="B165" s="305" t="s">
        <v>2247</v>
      </c>
      <c r="J165" s="1762">
        <f>+J163-J164</f>
        <v>10134568</v>
      </c>
      <c r="K165" s="1771"/>
      <c r="L165" s="1772"/>
      <c r="M165" s="1773" t="s">
        <v>2764</v>
      </c>
      <c r="N165" s="1774"/>
      <c r="O165" s="1775">
        <f>'Part III-Sources of Funds'!$I$41</f>
        <v>0</v>
      </c>
      <c r="P165" s="1775"/>
      <c r="Q165" s="1775"/>
      <c r="R165" s="1776"/>
      <c r="S165" s="424" t="s">
        <v>1675</v>
      </c>
      <c r="T165" s="3417"/>
      <c r="V165" s="3354"/>
      <c r="W165" s="3355"/>
      <c r="X165" s="3356"/>
    </row>
    <row r="166" spans="1:24" s="305" customFormat="1" ht="13.9" customHeight="1">
      <c r="B166" s="305" t="s">
        <v>1298</v>
      </c>
      <c r="J166" s="1777" t="str">
        <f>"/ 10"</f>
        <v>/ 10</v>
      </c>
      <c r="K166" s="1777"/>
      <c r="L166" s="1777"/>
      <c r="M166" s="1570"/>
      <c r="N166" s="494"/>
      <c r="O166" s="494"/>
      <c r="P166" s="494"/>
      <c r="Q166" s="494"/>
      <c r="R166" s="494"/>
      <c r="V166" s="1176"/>
      <c r="W166" s="3355"/>
      <c r="X166" s="3356"/>
    </row>
    <row r="167" spans="1:24" s="305" customFormat="1" ht="13.9" customHeight="1">
      <c r="B167" s="305" t="s">
        <v>1299</v>
      </c>
      <c r="J167" s="1762">
        <f>J165/10</f>
        <v>1013456.8</v>
      </c>
      <c r="K167" s="1771"/>
      <c r="L167" s="1763"/>
      <c r="M167" s="324"/>
      <c r="N167" s="1637" t="s">
        <v>1300</v>
      </c>
      <c r="O167" s="1637"/>
      <c r="Q167" s="1637" t="s">
        <v>1812</v>
      </c>
      <c r="R167" s="1637"/>
      <c r="V167" s="3354"/>
      <c r="W167" s="3355"/>
      <c r="X167" s="3356"/>
    </row>
    <row r="168" spans="1:24" s="305" customFormat="1" ht="13.9" customHeight="1" thickBot="1">
      <c r="B168" s="305" t="s">
        <v>1496</v>
      </c>
      <c r="J168" s="1764">
        <f>N168+Q168</f>
        <v>1.19</v>
      </c>
      <c r="K168" s="1765"/>
      <c r="L168" s="1766"/>
      <c r="M168" s="1561" t="s">
        <v>1301</v>
      </c>
      <c r="N168" s="3418">
        <v>0.84</v>
      </c>
      <c r="O168" s="3419"/>
      <c r="P168" s="1561" t="s">
        <v>618</v>
      </c>
      <c r="Q168" s="3418">
        <v>0.35</v>
      </c>
      <c r="R168" s="3419"/>
      <c r="V168" s="3354"/>
      <c r="W168" s="3355"/>
      <c r="X168" s="3356"/>
    </row>
    <row r="169" spans="1:24" s="305" customFormat="1" ht="13.9" customHeight="1" thickBot="1">
      <c r="B169" s="307" t="s">
        <v>1437</v>
      </c>
      <c r="J169" s="1702">
        <f>IF(J168=0,"",J167/J168)</f>
        <v>851644.36974789924</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149999999999999" customHeight="1">
      <c r="B171" s="307" t="s">
        <v>2918</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149999999999999" customHeight="1">
      <c r="B173" s="307" t="s">
        <v>351</v>
      </c>
      <c r="J173" s="3420">
        <v>850000</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149999999999999" customHeight="1">
      <c r="A175" s="438" t="s">
        <v>1805</v>
      </c>
      <c r="B175" s="438" t="s">
        <v>2636</v>
      </c>
      <c r="D175" s="324"/>
      <c r="E175" s="324"/>
      <c r="F175" s="310"/>
      <c r="J175" s="1778">
        <f>IF(J173="",0,+MIN(J171,J173))</f>
        <v>850000</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4697</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2709</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AmOXLSfXBUV3k4cTgoPx8G3XTacDwOLSQbpooiW+e2rKY8eJEn7PKI3fw/eIRrj1sOCTYz6Njo19wB6ztLwXOw==" saltValue="BeKxRstlpVQ/0jFg3ulos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41" priority="3" stopIfTrue="1" operator="greaterThan">
      <formula>$J$171</formula>
    </cfRule>
  </conditionalFormatting>
  <conditionalFormatting sqref="J35:K35 M35:N35 P35:Q35">
    <cfRule type="cellIs" dxfId="40" priority="2" operator="greaterThan">
      <formula>$G$35</formula>
    </cfRule>
  </conditionalFormatting>
  <conditionalFormatting sqref="J36:K37 M36:N37 P36:Q37">
    <cfRule type="cellIs" dxfId="39" priority="1" operator="greaterThan">
      <formula>$G$37</formula>
    </cfRule>
  </conditionalFormatting>
  <conditionalFormatting sqref="G37">
    <cfRule type="cellIs" dxfId="3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2018-030 - Sparrow Pointe at Forest Hill  -  Moultrie  -  Colquitt,  County</v>
      </c>
      <c r="B1" s="1840"/>
      <c r="C1" s="1840"/>
      <c r="D1" s="1840"/>
      <c r="E1" s="1840"/>
      <c r="F1" s="1840"/>
      <c r="G1" s="1840"/>
      <c r="H1" s="1840"/>
      <c r="I1" s="1008"/>
      <c r="J1" s="1008"/>
      <c r="K1" s="1008"/>
      <c r="L1" s="1008"/>
      <c r="M1" s="1008"/>
      <c r="N1" s="1008"/>
    </row>
    <row r="2" spans="1:14" ht="9" customHeight="1"/>
    <row r="3" spans="1:14" ht="57" customHeight="1">
      <c r="A3" s="3341" t="s">
        <v>3740</v>
      </c>
      <c r="B3" s="3342"/>
      <c r="C3" s="3342"/>
      <c r="D3" s="3342"/>
      <c r="E3" s="3342"/>
      <c r="F3" s="3342"/>
      <c r="G3" s="3342"/>
      <c r="H3" s="3343"/>
    </row>
    <row r="4" spans="1:14" ht="6" customHeight="1"/>
    <row r="5" spans="1:14" ht="38.25" customHeight="1">
      <c r="A5" s="1841" t="s">
        <v>3859</v>
      </c>
      <c r="B5" s="1841"/>
      <c r="C5" s="1841"/>
      <c r="D5" s="1841"/>
      <c r="F5" s="1009" t="s">
        <v>3731</v>
      </c>
      <c r="G5" s="592"/>
      <c r="H5" s="1009" t="s">
        <v>3732</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c r="G9" s="1011"/>
      <c r="H9" s="3345"/>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3734</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&lt;&lt; Enter description here; provide detail &amp; justification in tab Part IV-b &gt;&gt;</v>
      </c>
      <c r="B14" s="1837"/>
      <c r="C14" s="1837"/>
      <c r="D14" s="1838"/>
      <c r="F14" s="3346"/>
      <c r="G14" s="1011"/>
      <c r="H14" s="3346"/>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3734</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&lt;&lt; Enter description here; provide detail &amp; justification in tab Part IV-b &gt;&gt;</v>
      </c>
      <c r="B19" s="1837"/>
      <c r="C19" s="1837"/>
      <c r="D19" s="1838"/>
      <c r="F19" s="3346"/>
      <c r="G19" s="1011"/>
      <c r="H19" s="3346"/>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3734</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3733</v>
      </c>
      <c r="B24" s="1011"/>
      <c r="C24" s="1011"/>
      <c r="D24" s="1011"/>
      <c r="E24" s="1011"/>
      <c r="F24" s="1011"/>
      <c r="G24" s="1011"/>
    </row>
    <row r="25" spans="1:8" s="3344" customFormat="1" ht="41.25" customHeight="1">
      <c r="A25" s="1836" t="str">
        <f>'Part IV-A-Uses of Funds'!$C$41</f>
        <v>&lt;&lt; Enter description here; provide detail &amp; justification in tab Part IV-b &gt;&gt;</v>
      </c>
      <c r="B25" s="1837"/>
      <c r="C25" s="1837"/>
      <c r="D25" s="1838"/>
      <c r="E25" s="1011"/>
      <c r="F25" s="3348"/>
      <c r="G25" s="1011"/>
      <c r="H25" s="3348"/>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3734</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3734</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3734</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8"/>
      <c r="G42" s="1011"/>
      <c r="H42" s="3348"/>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3734</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3734</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3735</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3734</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3734</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3736</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3734</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t="str">
        <f>'Part IV-A-Uses of Funds'!$C$125</f>
        <v>&lt;&lt; Enter description here; provide detail &amp; justification in tab Part IV-b &gt;&gt;</v>
      </c>
      <c r="B71" s="1831"/>
      <c r="C71" s="1831"/>
      <c r="D71" s="1832"/>
      <c r="F71" s="3348"/>
      <c r="G71" s="1011"/>
      <c r="H71" s="3348"/>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3734</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3737</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3734</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nS9dxg+QzdFpOvDg30F4xQQDObjnrix5H+SWCCoDyFWMV8S6isr7UrcE2MxXZXJTmxM5iDoBbe/Cr0Mb1qPOQ==" saltValue="cld590QVr0Z+quR9s/7M+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8"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2018-030 Sparrow Pointe at Forest Hill, Moultrie, Colquitt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2242</v>
      </c>
      <c r="F7" s="8" t="s">
        <v>2535</v>
      </c>
      <c r="I7" s="3314" t="s">
        <v>4614</v>
      </c>
      <c r="J7" s="3315"/>
      <c r="K7" s="3315"/>
      <c r="L7" s="3315"/>
      <c r="M7" s="3316"/>
    </row>
    <row r="8" spans="1:20" s="8" customFormat="1" ht="13.15" customHeight="1">
      <c r="A8" s="14"/>
      <c r="F8" s="8" t="s">
        <v>642</v>
      </c>
      <c r="H8" s="28"/>
      <c r="I8" s="3317" t="s">
        <v>4615</v>
      </c>
      <c r="J8" s="3318"/>
      <c r="K8" s="63" t="s">
        <v>545</v>
      </c>
      <c r="L8" s="3319" t="s">
        <v>42</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1863</v>
      </c>
      <c r="I11" s="255" t="s">
        <v>573</v>
      </c>
      <c r="J11" s="256">
        <v>1</v>
      </c>
      <c r="K11" s="256">
        <v>2</v>
      </c>
      <c r="L11" s="256">
        <v>3</v>
      </c>
      <c r="M11" s="256">
        <v>4</v>
      </c>
    </row>
    <row r="12" spans="1:20" s="8" customFormat="1" ht="12" customHeight="1">
      <c r="B12" s="1118" t="s">
        <v>1865</v>
      </c>
      <c r="C12" s="1119"/>
      <c r="D12" s="3321" t="s">
        <v>4616</v>
      </c>
      <c r="E12" s="3322"/>
      <c r="F12" s="3323" t="s">
        <v>443</v>
      </c>
      <c r="G12" s="3323"/>
      <c r="H12" s="1120"/>
      <c r="I12" s="3324"/>
      <c r="J12" s="3324">
        <v>4</v>
      </c>
      <c r="K12" s="3324">
        <v>5</v>
      </c>
      <c r="L12" s="3324">
        <v>6</v>
      </c>
      <c r="M12" s="3324"/>
      <c r="O12" s="1842" t="s">
        <v>3858</v>
      </c>
      <c r="P12" s="1842"/>
    </row>
    <row r="13" spans="1:20" s="8" customFormat="1" ht="12" customHeight="1">
      <c r="B13" s="1112" t="s">
        <v>1609</v>
      </c>
      <c r="C13" s="1109"/>
      <c r="D13" s="3325" t="s">
        <v>1608</v>
      </c>
      <c r="E13" s="3326"/>
      <c r="F13" s="3327" t="s">
        <v>443</v>
      </c>
      <c r="G13" s="3327"/>
      <c r="H13" s="1117"/>
      <c r="I13" s="3328"/>
      <c r="J13" s="3328">
        <v>7</v>
      </c>
      <c r="K13" s="3328">
        <v>9</v>
      </c>
      <c r="L13" s="3329">
        <v>11</v>
      </c>
      <c r="M13" s="3329"/>
      <c r="O13" s="1842"/>
      <c r="P13" s="1842"/>
    </row>
    <row r="14" spans="1:20" s="8" customFormat="1" ht="12" customHeight="1">
      <c r="B14" s="1115" t="s">
        <v>1610</v>
      </c>
      <c r="C14" s="1114"/>
      <c r="D14" s="3325" t="s">
        <v>1608</v>
      </c>
      <c r="E14" s="3326"/>
      <c r="F14" s="3327" t="s">
        <v>443</v>
      </c>
      <c r="G14" s="3327"/>
      <c r="H14" s="257"/>
      <c r="I14" s="3328"/>
      <c r="J14" s="3328">
        <v>14</v>
      </c>
      <c r="K14" s="3328">
        <v>18</v>
      </c>
      <c r="L14" s="3329">
        <v>23</v>
      </c>
      <c r="M14" s="3329"/>
      <c r="O14" s="1842"/>
      <c r="P14" s="1842"/>
    </row>
    <row r="15" spans="1:20" s="8" customFormat="1" ht="12" customHeight="1">
      <c r="B15" s="1110" t="s">
        <v>471</v>
      </c>
      <c r="C15" s="258"/>
      <c r="D15" s="1110" t="s">
        <v>1608</v>
      </c>
      <c r="E15" s="258"/>
      <c r="F15" s="3327" t="s">
        <v>443</v>
      </c>
      <c r="G15" s="3327"/>
      <c r="H15" s="1116"/>
      <c r="I15" s="3328"/>
      <c r="J15" s="3328">
        <v>12</v>
      </c>
      <c r="K15" s="3328">
        <v>15</v>
      </c>
      <c r="L15" s="3329">
        <v>18</v>
      </c>
      <c r="M15" s="3329"/>
      <c r="O15" s="1842"/>
      <c r="P15" s="1842"/>
    </row>
    <row r="16" spans="1:20" s="8" customFormat="1" ht="12" customHeight="1">
      <c r="B16" s="1111" t="s">
        <v>3830</v>
      </c>
      <c r="C16" s="1109"/>
      <c r="D16" s="1112" t="s">
        <v>1608</v>
      </c>
      <c r="E16" s="1109"/>
      <c r="F16" s="3327"/>
      <c r="G16" s="3327" t="s">
        <v>443</v>
      </c>
      <c r="H16" s="1117"/>
      <c r="I16" s="3328"/>
      <c r="J16" s="3328"/>
      <c r="K16" s="3328"/>
      <c r="L16" s="3329"/>
      <c r="M16" s="3329"/>
      <c r="O16" s="1842"/>
      <c r="P16" s="1842"/>
    </row>
    <row r="17" spans="1:19" s="8" customFormat="1" ht="12" customHeight="1">
      <c r="B17" s="1111" t="s">
        <v>3831</v>
      </c>
      <c r="C17" s="1109"/>
      <c r="D17" s="1112" t="s">
        <v>1608</v>
      </c>
      <c r="E17" s="1109"/>
      <c r="F17" s="3327"/>
      <c r="G17" s="3327" t="s">
        <v>443</v>
      </c>
      <c r="H17" s="1117"/>
      <c r="I17" s="3328"/>
      <c r="J17" s="3328"/>
      <c r="K17" s="3328"/>
      <c r="L17" s="3329"/>
      <c r="M17" s="3329"/>
      <c r="O17" s="1842"/>
      <c r="P17" s="1842"/>
    </row>
    <row r="18" spans="1:19" s="8" customFormat="1" ht="12" customHeight="1">
      <c r="B18" s="1113" t="s">
        <v>3832</v>
      </c>
      <c r="C18" s="1114"/>
      <c r="D18" s="1115" t="s">
        <v>1608</v>
      </c>
      <c r="E18" s="1109"/>
      <c r="F18" s="3327" t="s">
        <v>443</v>
      </c>
      <c r="G18" s="3327"/>
      <c r="H18" s="257"/>
      <c r="I18" s="3328"/>
      <c r="J18" s="3328">
        <v>21</v>
      </c>
      <c r="K18" s="3328">
        <v>27</v>
      </c>
      <c r="L18" s="3329">
        <v>33</v>
      </c>
      <c r="M18" s="3329"/>
      <c r="O18" s="1842"/>
      <c r="P18" s="1842"/>
    </row>
    <row r="19" spans="1:19" s="8" customFormat="1" ht="12" customHeight="1">
      <c r="B19" s="1110" t="s">
        <v>1382</v>
      </c>
      <c r="C19" s="258"/>
      <c r="D19" s="668" t="s">
        <v>3490</v>
      </c>
      <c r="E19" s="3330" t="s">
        <v>3009</v>
      </c>
      <c r="F19" s="3327" t="s">
        <v>443</v>
      </c>
      <c r="G19" s="3327"/>
      <c r="H19" s="1116"/>
      <c r="I19" s="3328"/>
      <c r="J19" s="3328">
        <v>38</v>
      </c>
      <c r="K19" s="3328">
        <v>47</v>
      </c>
      <c r="L19" s="3329">
        <v>57</v>
      </c>
      <c r="M19" s="3329"/>
      <c r="O19" s="1842"/>
      <c r="P19" s="1842"/>
    </row>
    <row r="20" spans="1:19" s="8" customFormat="1" ht="12" customHeight="1">
      <c r="B20" s="1121" t="s">
        <v>1864</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96</v>
      </c>
      <c r="K21" s="1582">
        <f>IF(SUM(K12:K20)=0,0,IF(OR($D12="&lt;&lt;Select Fuel &gt;&gt;",$D13="&lt;&lt;Select Fuel &gt;&gt;",$D14="&lt;&lt;Select Fuel &gt;&gt;"),"Select Fuel",IF($E19="&lt;Select&gt;","Submeter?",SUM(K12:K20))))</f>
        <v>121</v>
      </c>
      <c r="L21" s="1582">
        <f>IF(SUM(L12:L20)=0,0,IF(OR($D12="&lt;&lt;Select Fuel &gt;&gt;",$D13="&lt;&lt;Select Fuel &gt;&gt;",$D14="&lt;&lt;Select Fuel &gt;&gt;"),"Select Fuel",IF($E19="&lt;Select&gt;","Submeter?",SUM(L12:L20))))</f>
        <v>148</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2243</v>
      </c>
      <c r="F23" s="8" t="s">
        <v>2535</v>
      </c>
      <c r="I23" s="3314" t="s">
        <v>4683</v>
      </c>
      <c r="J23" s="3315"/>
      <c r="K23" s="3315"/>
      <c r="L23" s="3315"/>
      <c r="M23" s="3316"/>
    </row>
    <row r="24" spans="1:19" s="8" customFormat="1" ht="13.15" customHeight="1">
      <c r="A24" s="14"/>
      <c r="B24" s="14"/>
      <c r="F24" s="8" t="s">
        <v>642</v>
      </c>
      <c r="H24" s="28"/>
      <c r="I24" s="3334">
        <v>43101</v>
      </c>
      <c r="J24" s="3318"/>
      <c r="K24" s="63" t="s">
        <v>545</v>
      </c>
      <c r="L24" s="3319" t="s">
        <v>42</v>
      </c>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1863</v>
      </c>
      <c r="I27" s="255" t="s">
        <v>573</v>
      </c>
      <c r="J27" s="256">
        <v>1</v>
      </c>
      <c r="K27" s="256">
        <v>2</v>
      </c>
      <c r="L27" s="256">
        <v>3</v>
      </c>
      <c r="M27" s="256">
        <v>4</v>
      </c>
    </row>
    <row r="28" spans="1:19" s="8" customFormat="1" ht="12" customHeight="1">
      <c r="B28" s="1118" t="s">
        <v>1865</v>
      </c>
      <c r="C28" s="1119"/>
      <c r="D28" s="3321" t="s">
        <v>4616</v>
      </c>
      <c r="E28" s="3322"/>
      <c r="F28" s="3323" t="s">
        <v>443</v>
      </c>
      <c r="G28" s="3323"/>
      <c r="H28" s="1120"/>
      <c r="I28" s="3324"/>
      <c r="J28" s="3324">
        <v>4</v>
      </c>
      <c r="K28" s="3324">
        <v>5</v>
      </c>
      <c r="L28" s="3324">
        <v>6</v>
      </c>
      <c r="M28" s="3324"/>
      <c r="O28" s="1842" t="s">
        <v>3858</v>
      </c>
      <c r="P28" s="1842"/>
    </row>
    <row r="29" spans="1:19" s="8" customFormat="1" ht="12" customHeight="1">
      <c r="B29" s="1112" t="s">
        <v>1609</v>
      </c>
      <c r="C29" s="1109"/>
      <c r="D29" s="3325" t="s">
        <v>1608</v>
      </c>
      <c r="E29" s="3326"/>
      <c r="F29" s="3327" t="s">
        <v>443</v>
      </c>
      <c r="G29" s="3327"/>
      <c r="H29" s="1117"/>
      <c r="I29" s="3328"/>
      <c r="J29" s="3328">
        <v>7</v>
      </c>
      <c r="K29" s="3328">
        <v>9</v>
      </c>
      <c r="L29" s="3329">
        <v>11</v>
      </c>
      <c r="M29" s="3329"/>
      <c r="O29" s="1842"/>
      <c r="P29" s="1842"/>
    </row>
    <row r="30" spans="1:19" s="8" customFormat="1" ht="12" customHeight="1">
      <c r="B30" s="1115" t="s">
        <v>1610</v>
      </c>
      <c r="C30" s="1114"/>
      <c r="D30" s="3325" t="s">
        <v>1608</v>
      </c>
      <c r="E30" s="3326"/>
      <c r="F30" s="3327" t="s">
        <v>443</v>
      </c>
      <c r="G30" s="3327"/>
      <c r="H30" s="257"/>
      <c r="I30" s="3328"/>
      <c r="J30" s="3328">
        <v>14</v>
      </c>
      <c r="K30" s="3328">
        <v>18</v>
      </c>
      <c r="L30" s="3329">
        <v>23</v>
      </c>
      <c r="M30" s="3329"/>
      <c r="O30" s="1842"/>
      <c r="P30" s="1842"/>
    </row>
    <row r="31" spans="1:19" s="8" customFormat="1" ht="12" customHeight="1">
      <c r="B31" s="1110" t="s">
        <v>471</v>
      </c>
      <c r="C31" s="258"/>
      <c r="D31" s="1110" t="s">
        <v>1608</v>
      </c>
      <c r="E31" s="258"/>
      <c r="F31" s="3327" t="s">
        <v>443</v>
      </c>
      <c r="G31" s="3327"/>
      <c r="H31" s="1116"/>
      <c r="I31" s="3328"/>
      <c r="J31" s="3328">
        <v>12</v>
      </c>
      <c r="K31" s="3328">
        <v>15</v>
      </c>
      <c r="L31" s="3329">
        <v>18</v>
      </c>
      <c r="M31" s="3329"/>
      <c r="O31" s="1842"/>
      <c r="P31" s="1842"/>
    </row>
    <row r="32" spans="1:19" s="8" customFormat="1" ht="12" customHeight="1">
      <c r="B32" s="1111" t="s">
        <v>3830</v>
      </c>
      <c r="C32" s="1109"/>
      <c r="D32" s="1112" t="s">
        <v>1608</v>
      </c>
      <c r="E32" s="1109"/>
      <c r="F32" s="3327"/>
      <c r="G32" s="3327" t="s">
        <v>443</v>
      </c>
      <c r="H32" s="1117"/>
      <c r="I32" s="3328"/>
      <c r="J32" s="3328"/>
      <c r="K32" s="3328"/>
      <c r="L32" s="3329"/>
      <c r="M32" s="3329"/>
      <c r="O32" s="1842"/>
      <c r="P32" s="1842"/>
    </row>
    <row r="33" spans="1:19" s="8" customFormat="1" ht="12" customHeight="1">
      <c r="B33" s="1111" t="s">
        <v>3831</v>
      </c>
      <c r="C33" s="1109"/>
      <c r="D33" s="1112" t="s">
        <v>1608</v>
      </c>
      <c r="E33" s="1109"/>
      <c r="F33" s="3327"/>
      <c r="G33" s="3327" t="s">
        <v>443</v>
      </c>
      <c r="H33" s="1117"/>
      <c r="I33" s="3328"/>
      <c r="J33" s="3328"/>
      <c r="K33" s="3328"/>
      <c r="L33" s="3329"/>
      <c r="M33" s="3329"/>
      <c r="O33" s="1842"/>
      <c r="P33" s="1842"/>
    </row>
    <row r="34" spans="1:19" s="8" customFormat="1" ht="12" customHeight="1">
      <c r="B34" s="1113" t="s">
        <v>3832</v>
      </c>
      <c r="C34" s="1114"/>
      <c r="D34" s="1115" t="s">
        <v>1608</v>
      </c>
      <c r="E34" s="1109"/>
      <c r="F34" s="3327" t="s">
        <v>443</v>
      </c>
      <c r="G34" s="3327"/>
      <c r="H34" s="257"/>
      <c r="I34" s="3328"/>
      <c r="J34" s="3328">
        <v>21</v>
      </c>
      <c r="K34" s="3328">
        <v>27</v>
      </c>
      <c r="L34" s="3329">
        <v>33</v>
      </c>
      <c r="M34" s="3329"/>
      <c r="O34" s="1842"/>
      <c r="P34" s="1842"/>
    </row>
    <row r="35" spans="1:19" s="8" customFormat="1" ht="12" customHeight="1">
      <c r="B35" s="1110" t="s">
        <v>1382</v>
      </c>
      <c r="C35" s="258"/>
      <c r="D35" s="668" t="s">
        <v>3490</v>
      </c>
      <c r="E35" s="3330" t="s">
        <v>3009</v>
      </c>
      <c r="F35" s="3327" t="s">
        <v>443</v>
      </c>
      <c r="G35" s="3327"/>
      <c r="H35" s="1116"/>
      <c r="I35" s="3328"/>
      <c r="J35" s="3328">
        <v>38</v>
      </c>
      <c r="K35" s="3328">
        <v>47</v>
      </c>
      <c r="L35" s="3329">
        <v>57</v>
      </c>
      <c r="M35" s="3329"/>
      <c r="O35" s="1842"/>
      <c r="P35" s="1842"/>
    </row>
    <row r="36" spans="1:19" s="8" customFormat="1" ht="12" customHeight="1">
      <c r="B36" s="1121" t="s">
        <v>1864</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96</v>
      </c>
      <c r="K37" s="1582">
        <f>IF(SUM(K28:K36)=0,0,IF(OR($D28="&lt;&lt;Select Fuel &gt;&gt;",$D30="&lt;&lt;Select Fuel &gt;&gt;",$D31="&lt;&lt;Select Fuel &gt;&gt;"),"Select Fuel",IF($E35="&lt;Select&gt;","Submeter?",SUM(K28:K36))))</f>
        <v>121</v>
      </c>
      <c r="L37" s="1582">
        <f>IF(SUM(L28:L36)=0,0,IF(OR($D28="&lt;&lt;Select Fuel &gt;&gt;",$D30="&lt;&lt;Select Fuel &gt;&gt;",$D31="&lt;&lt;Select Fuel &gt;&gt;"),"Select Fuel",IF($E35="&lt;Select&gt;","Submeter?",SUM(L28:L36))))</f>
        <v>148</v>
      </c>
      <c r="M37" s="1582">
        <f>IF(SUM(M28:M36)=0,0,IF(OR($D28="&lt;&lt;Select Fuel &gt;&gt;",$D30="&lt;&lt;Select Fuel &gt;&gt;",$D31="&lt;&lt;Select Fuel &gt;&gt;"),"Select Fuel",IF($E35="&lt;Select&gt;","Submeter?",SUM(M28:M36))))</f>
        <v>0</v>
      </c>
    </row>
    <row r="38" spans="1:19" ht="6" customHeight="1">
      <c r="A38" s="8"/>
    </row>
    <row r="39" spans="1:19" s="8" customFormat="1">
      <c r="B39" s="446" t="s">
        <v>3491</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4684</v>
      </c>
      <c r="C41" s="3336"/>
      <c r="D41" s="3336"/>
      <c r="E41" s="3336"/>
      <c r="F41" s="3336"/>
      <c r="G41" s="3336"/>
      <c r="H41" s="3336"/>
      <c r="I41" s="3336"/>
      <c r="J41" s="3336"/>
      <c r="K41" s="3336"/>
      <c r="L41" s="3336"/>
      <c r="M41" s="3337"/>
      <c r="N41" s="28"/>
      <c r="O41" s="1619" t="s">
        <v>2709</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1858</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DgO9HHP4HslsxUx6DaQmZ1vmWTjptjlsKL3CMjl9POswhKWi3m9KOtUqo8OVzwcHw0YOyNz8ysSCnxbNhhBo2Q==" saltValue="4ZxTjpf6DI+MSyFpaPz8z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37" priority="8" operator="equal">
      <formula>"""&lt;&lt;Select Fuel &gt;&gt;"""</formula>
    </cfRule>
  </conditionalFormatting>
  <conditionalFormatting sqref="I21:M21">
    <cfRule type="cellIs" dxfId="36" priority="6" operator="equal">
      <formula>"Select Fuel"</formula>
    </cfRule>
    <cfRule type="cellIs" dxfId="35" priority="7" operator="equal">
      <formula>"&lt;&lt;Select Fuel &gt;&gt;"</formula>
    </cfRule>
  </conditionalFormatting>
  <conditionalFormatting sqref="J21:M21">
    <cfRule type="cellIs" dxfId="34" priority="5" operator="equal">
      <formula>"Select Fuel"</formula>
    </cfRule>
  </conditionalFormatting>
  <conditionalFormatting sqref="I37:M37">
    <cfRule type="cellIs" dxfId="33" priority="2" operator="equal">
      <formula>"Select Fuel"</formula>
    </cfRule>
    <cfRule type="cellIs" dxfId="32" priority="3" operator="equal">
      <formula>"&lt;&lt;Select Fuel &gt;&gt;"</formula>
    </cfRule>
  </conditionalFormatting>
  <conditionalFormatting sqref="J37:M37">
    <cfRule type="cellIs" dxfId="3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2018-05-24T16:24:54Z</cp:lastPrinted>
  <dcterms:created xsi:type="dcterms:W3CDTF">2005-09-15T20:51:37Z</dcterms:created>
  <dcterms:modified xsi:type="dcterms:W3CDTF">2018-08-29T21:54:08Z</dcterms:modified>
</cp:coreProperties>
</file>